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OTTO-Arbeitsunterlagen\O-EDM\(01) SWM\EDM-Gas\"/>
    </mc:Choice>
  </mc:AlternateContent>
  <xr:revisionPtr revIDLastSave="0" documentId="8_{41C51F44-5626-4DBB-AC6E-887A09438A77}" xr6:coauthVersionLast="47" xr6:coauthVersionMax="47" xr10:uidLastSave="{00000000-0000-0000-0000-000000000000}"/>
  <bookViews>
    <workbookView xWindow="-120" yWindow="-120" windowWidth="29040" windowHeight="1584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E63" i="18"/>
  <c r="J63" i="18"/>
  <c r="D32" i="18"/>
  <c r="L31" i="18" s="1"/>
  <c r="K53" i="18"/>
  <c r="F53" i="18"/>
  <c r="M63" i="18"/>
  <c r="I53" i="18"/>
  <c r="N53" i="18"/>
  <c r="E53" i="18"/>
  <c r="J53" i="18"/>
  <c r="F63" i="18"/>
  <c r="K63" i="18"/>
  <c r="D22" i="18"/>
  <c r="J21" i="18" s="1"/>
  <c r="G53" i="18"/>
  <c r="M53" i="18"/>
  <c r="I63" i="18"/>
  <c r="N63" i="18"/>
  <c r="K31" i="18"/>
  <c r="J31" i="18"/>
  <c r="M31" i="18"/>
  <c r="H53" i="18"/>
  <c r="H63" i="18"/>
  <c r="D24" i="15"/>
  <c r="C23" i="15"/>
  <c r="F31" i="18" l="1"/>
  <c r="G31" i="18"/>
  <c r="H31" i="18"/>
  <c r="I31" i="18"/>
  <c r="N31" i="18"/>
  <c r="G21" i="18"/>
  <c r="I21" i="18"/>
  <c r="N21" i="18"/>
  <c r="D56" i="18"/>
  <c r="J55" i="18" s="1"/>
  <c r="H21" i="18"/>
  <c r="F21" i="18"/>
  <c r="K21" i="18"/>
  <c r="M21" i="18"/>
  <c r="L21" i="18"/>
  <c r="D66" i="18"/>
  <c r="K65" i="18" s="1"/>
  <c r="L55" i="18"/>
  <c r="F69" i="17"/>
  <c r="G69" i="17"/>
  <c r="H69" i="17"/>
  <c r="I69" i="17"/>
  <c r="J69" i="17"/>
  <c r="K69" i="17"/>
  <c r="L69" i="17"/>
  <c r="M69" i="17"/>
  <c r="N69" i="17"/>
  <c r="E69" i="17"/>
  <c r="L65" i="18" l="1"/>
  <c r="E21" i="18"/>
  <c r="E31" i="18"/>
  <c r="M55" i="18"/>
  <c r="G55" i="18"/>
  <c r="I55" i="18"/>
  <c r="H55" i="18"/>
  <c r="K55" i="18"/>
  <c r="N55" i="18"/>
  <c r="F55" i="18"/>
  <c r="M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G56" i="17"/>
  <c r="H56" i="17"/>
  <c r="W11" i="7"/>
  <c r="V11" i="7"/>
  <c r="U11" i="7"/>
  <c r="T11" i="7"/>
  <c r="S11" i="7"/>
  <c r="R11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E55" i="18" l="1"/>
  <c r="E65" i="18"/>
  <c r="X12" i="7"/>
  <c r="X21" i="7"/>
  <c r="X25" i="7"/>
  <c r="X11" i="7"/>
  <c r="X24" i="7"/>
  <c r="X23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H63" i="17"/>
  <c r="G53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13" i="7" s="1"/>
  <c r="H21" i="4"/>
  <c r="V13" i="7" s="1"/>
  <c r="G21" i="4"/>
  <c r="U13" i="7" s="1"/>
  <c r="F21" i="4"/>
  <c r="T13" i="7" s="1"/>
  <c r="E21" i="4"/>
  <c r="S13" i="7" s="1"/>
  <c r="D21" i="4"/>
  <c r="R13" i="7" s="1"/>
  <c r="M20" i="4"/>
  <c r="M19" i="4"/>
  <c r="M16" i="4"/>
  <c r="M18" i="4"/>
  <c r="M17" i="4"/>
  <c r="M15" i="4"/>
  <c r="M14" i="4"/>
  <c r="M13" i="4"/>
  <c r="M12" i="4"/>
  <c r="M11" i="4"/>
  <c r="X13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25" i="7" l="1"/>
  <c r="J25" i="7"/>
  <c r="P24" i="7"/>
  <c r="L24" i="7"/>
  <c r="H24" i="7"/>
  <c r="N23" i="7"/>
  <c r="J23" i="7"/>
  <c r="P22" i="7"/>
  <c r="L22" i="7"/>
  <c r="H22" i="7"/>
  <c r="N21" i="7"/>
  <c r="J21" i="7"/>
  <c r="P20" i="7"/>
  <c r="L20" i="7"/>
  <c r="H20" i="7"/>
  <c r="N19" i="7"/>
  <c r="J19" i="7"/>
  <c r="P18" i="7"/>
  <c r="L18" i="7"/>
  <c r="H18" i="7"/>
  <c r="N17" i="7"/>
  <c r="J17" i="7"/>
  <c r="P16" i="7"/>
  <c r="L16" i="7"/>
  <c r="H16" i="7"/>
  <c r="N15" i="7"/>
  <c r="J15" i="7"/>
  <c r="P14" i="7"/>
  <c r="L14" i="7"/>
  <c r="H14" i="7"/>
  <c r="N13" i="7"/>
  <c r="J13" i="7"/>
  <c r="P12" i="7"/>
  <c r="L12" i="7"/>
  <c r="H12" i="7"/>
  <c r="M25" i="7"/>
  <c r="I25" i="7"/>
  <c r="O24" i="7"/>
  <c r="K24" i="7"/>
  <c r="F24" i="7"/>
  <c r="M23" i="7"/>
  <c r="I23" i="7"/>
  <c r="O22" i="7"/>
  <c r="K22" i="7"/>
  <c r="F22" i="7"/>
  <c r="M21" i="7"/>
  <c r="I21" i="7"/>
  <c r="O20" i="7"/>
  <c r="K20" i="7"/>
  <c r="F20" i="7"/>
  <c r="M19" i="7"/>
  <c r="I19" i="7"/>
  <c r="O18" i="7"/>
  <c r="K18" i="7"/>
  <c r="F18" i="7"/>
  <c r="M17" i="7"/>
  <c r="I17" i="7"/>
  <c r="O16" i="7"/>
  <c r="K16" i="7"/>
  <c r="F16" i="7"/>
  <c r="M15" i="7"/>
  <c r="I15" i="7"/>
  <c r="O14" i="7"/>
  <c r="K14" i="7"/>
  <c r="F14" i="7"/>
  <c r="M13" i="7"/>
  <c r="I13" i="7"/>
  <c r="O12" i="7"/>
  <c r="K12" i="7"/>
  <c r="F12" i="7"/>
  <c r="P25" i="7"/>
  <c r="L25" i="7"/>
  <c r="H25" i="7"/>
  <c r="N24" i="7"/>
  <c r="J24" i="7"/>
  <c r="P23" i="7"/>
  <c r="L23" i="7"/>
  <c r="F25" i="7"/>
  <c r="K23" i="7"/>
  <c r="M22" i="7"/>
  <c r="O21" i="7"/>
  <c r="F21" i="7"/>
  <c r="I20" i="7"/>
  <c r="K19" i="7"/>
  <c r="M18" i="7"/>
  <c r="O17" i="7"/>
  <c r="F17" i="7"/>
  <c r="I16" i="7"/>
  <c r="K15" i="7"/>
  <c r="M14" i="7"/>
  <c r="O13" i="7"/>
  <c r="F13" i="7"/>
  <c r="I12" i="7"/>
  <c r="P15" i="7"/>
  <c r="J14" i="7"/>
  <c r="N12" i="7"/>
  <c r="O25" i="7"/>
  <c r="I22" i="7"/>
  <c r="M20" i="7"/>
  <c r="F19" i="7"/>
  <c r="O15" i="7"/>
  <c r="M12" i="7"/>
  <c r="M24" i="7"/>
  <c r="H23" i="7"/>
  <c r="J22" i="7"/>
  <c r="L21" i="7"/>
  <c r="N20" i="7"/>
  <c r="P19" i="7"/>
  <c r="H19" i="7"/>
  <c r="J18" i="7"/>
  <c r="L17" i="7"/>
  <c r="N16" i="7"/>
  <c r="H15" i="7"/>
  <c r="L13" i="7"/>
  <c r="I24" i="7"/>
  <c r="F23" i="7"/>
  <c r="K21" i="7"/>
  <c r="I18" i="7"/>
  <c r="M16" i="7"/>
  <c r="I14" i="7"/>
  <c r="K25" i="7"/>
  <c r="O23" i="7"/>
  <c r="N22" i="7"/>
  <c r="P21" i="7"/>
  <c r="H21" i="7"/>
  <c r="J20" i="7"/>
  <c r="L19" i="7"/>
  <c r="N18" i="7"/>
  <c r="P17" i="7"/>
  <c r="H17" i="7"/>
  <c r="J16" i="7"/>
  <c r="L15" i="7"/>
  <c r="N14" i="7"/>
  <c r="P13" i="7"/>
  <c r="H13" i="7"/>
  <c r="J12" i="7"/>
  <c r="O19" i="7"/>
  <c r="K17" i="7"/>
  <c r="F15" i="7"/>
  <c r="K13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<sst xmlns="http://schemas.openxmlformats.org/spreadsheetml/2006/main" count="1373" uniqueCount="679">
  <si>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</si>
  <si>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</si>
  <si>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</si>
  <si>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</si>
  <si>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</si>
  <si>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</si>
  <si>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</si>
  <si>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</si>
  <si>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</si>
  <si>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</si>
  <si>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</si>
  <si>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</si>
  <si>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</si>
  <si>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</si>
  <si>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</si>
  <si>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</si>
  <si>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</si>
  <si>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</si>
  <si>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</si>
  <si>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</si>
  <si>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</si>
  <si>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</si>
  <si>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</si>
  <si>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</si>
  <si>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</si>
  <si>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</si>
  <si>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</si>
  <si>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</si>
  <si>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</si>
  <si>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</si>
  <si>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</si>
  <si>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</si>
  <si>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</si>
  <si>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</si>
  <si>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</si>
  <si>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</si>
  <si>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</si>
  <si>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</si>
  <si>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</si>
  <si>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</si>
  <si>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</si>
  <si>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</si>
  <si>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</si>
  <si>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</si>
  <si>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</si>
  <si>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</si>
  <si>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</si>
  <si>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</si>
  <si>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</si>
  <si>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</si>
  <si>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</si>
  <si>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</si>
  <si>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</si>
  <si>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</si>
  <si>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</si>
  <si>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</si>
  <si>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</si>
  <si>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</si>
  <si>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</si>
  <si>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</si>
  <si>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</si>
  <si>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</si>
  <si>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</si>
  <si>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</si>
  <si>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</si>
  <si>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</si>
  <si>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</si>
  <si>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</si>
  <si>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</si>
  <si>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</si>
  <si>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</si>
  <si>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</si>
  <si>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</si>
  <si>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</si>
  <si>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</si>
  <si>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</si>
  <si>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</si>
  <si>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</si>
  <si>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</si>
  <si>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</si>
  <si>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</si>
  <si>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</si>
  <si>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</si>
  <si>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</si>
  <si>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</si>
  <si>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</si>
  <si>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</si>
  <si>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</si>
  <si>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</si>
  <si>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</si>
  <si>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</si>
  <si>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</si>
  <si>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</si>
  <si>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</si>
  <si>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</si>
  <si>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</si>
  <si>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</si>
  <si>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</si>
  <si>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</si>
  <si>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</si>
  <si>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</si>
  <si>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</si>
  <si>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</si>
  <si>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</si>
  <si>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</si>
  <si>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</si>
  <si>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</si>
  <si>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</si>
  <si>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</si>
  <si>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</si>
  <si>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</si>
  <si>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</si>
  <si>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</si>
  <si>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</si>
  <si>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</si>
  <si>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</si>
  <si>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</si>
  <si>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</si>
  <si>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</si>
  <si>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</si>
  <si>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</si>
  <si>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</si>
  <si>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</si>
  <si>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</si>
  <si>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</si>
  <si>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</si>
  <si>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</si>
  <si>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</si>
  <si>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</si>
  <si>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</si>
  <si>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</si>
  <si>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</si>
  <si>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</si>
  <si>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</si>
  <si>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</si>
  <si>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</si>
  <si>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</si>
  <si>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</si>
  <si>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</si>
  <si>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</si>
  <si>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</si>
  <si>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</si>
  <si>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</si>
  <si>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</si>
  <si>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</si>
  <si>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</si>
  <si>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</si>
  <si>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</si>
  <si>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</si>
  <si>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</si>
  <si>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</si>
  <si>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</si>
  <si>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</si>
  <si>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</si>
  <si>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</si>
  <si>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</si>
  <si>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</si>
  <si>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</si>
  <si>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</si>
  <si>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</si>
  <si>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</si>
  <si>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</si>
  <si>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</si>
  <si>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</si>
  <si>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</si>
  <si>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</si>
  <si>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</si>
  <si>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</si>
  <si>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</si>
  <si>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</si>
  <si>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</si>
  <si>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</si>
  <si>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</si>
  <si>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</si>
  <si>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</si>
  <si>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</si>
  <si>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</si>
  <si>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</si>
  <si>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</si>
  <si>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</si>
  <si>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</si>
  <si>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</si>
  <si>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</si>
  <si>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</si>
  <si>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</si>
  <si>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</si>
  <si>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</si>
  <si>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</si>
  <si>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</si>
  <si>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</si>
  <si>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</si>
  <si>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</si>
  <si>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</si>
  <si>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</si>
  <si>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</si>
  <si>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</si>
  <si>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</si>
  <si>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</si>
  <si>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</si>
  <si>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</si>
  <si>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</si>
  <si>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</si>
  <si>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</si>
  <si>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</si>
  <si>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</si>
  <si>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</si>
  <si>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</si>
  <si>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</si>
  <si>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</si>
  <si>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</si>
  <si>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</si>
  <si>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</si>
  <si>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</si>
  <si>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</si>
  <si>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</si>
  <si>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</si>
  <si>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</si>
  <si>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</si>
  <si>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</si>
  <si>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</si>
  <si>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</si>
  <si>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</si>
  <si>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</si>
  <si>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</si>
  <si>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</si>
  <si>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</si>
  <si>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</si>
  <si>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</si>
  <si>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</si>
  <si>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</si>
  <si>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</si>
  <si>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</si>
  <si>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</si>
  <si>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</si>
  <si>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</si>
  <si>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</si>
  <si>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</si>
  <si>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</si>
  <si>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</si>
  <si>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</si>
  <si>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</si>
  <si>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</si>
  <si>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</si>
  <si>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</si>
  <si>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</si>
  <si>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</si>
  <si>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</si>
  <si>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</si>
  <si>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</si>
  <si>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</si>
  <si>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</si>
  <si>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</si>
  <si>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</si>
  <si>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</si>
  <si>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</si>
  <si>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</si>
  <si>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</si>
  <si>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</si>
  <si>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</si>
  <si>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</si>
  <si>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</si>
  <si>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</si>
  <si>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</si>
  <si>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</si>
  <si>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</si>
  <si>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</si>
  <si>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</si>
  <si>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</si>
  <si>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</si>
  <si>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</si>
  <si>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</si>
  <si>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</si>
  <si>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</si>
  <si>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</si>
  <si>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</si>
  <si>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</si>
  <si>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</si>
  <si>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</si>
  <si>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</si>
  <si>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</si>
  <si>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</si>
  <si>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</si>
  <si>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</si>
  <si>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</si>
  <si>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</si>
  <si>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</si>
  <si>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</si>
  <si>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</si>
  <si>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</si>
  <si>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</si>
  <si>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</si>
  <si>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</si>
  <si>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</si>
  <si>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</si>
  <si>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</si>
  <si>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</si>
  <si>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</si>
  <si>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</si>
  <si>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</si>
  <si>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</si>
  <si>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</si>
  <si>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</si>
  <si>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</si>
  <si>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</si>
  <si>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</si>
  <si>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</si>
  <si>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</si>
  <si>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</si>
  <si>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</si>
  <si>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</si>
  <si>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</si>
  <si>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</si>
  <si>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</si>
  <si>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</si>
  <si>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</si>
  <si>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</si>
  <si>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</si>
  <si>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</si>
  <si>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</si>
  <si>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</si>
  <si>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</si>
  <si>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</si>
  <si>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</si>
  <si>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</si>
  <si>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</si>
  <si>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</si>
  <si>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</si>
  <si>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</si>
  <si>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</si>
  <si>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</si>
  <si>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</si>
  <si>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</si>
  <si>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</si>
  <si>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</si>
  <si>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</si>
  <si>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</si>
  <si>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</si>
  <si>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</si>
  <si>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</si>
  <si>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</si>
  <si>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</si>
  <si>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</si>
  <si>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</si>
  <si>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</si>
  <si>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</si>
  <si>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</si>
  <si>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</si>
  <si>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</si>
  <si>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</si>
  <si>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</si>
  <si>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</si>
  <si>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</si>
  <si>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</si>
  <si>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</si>
  <si>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</si>
  <si>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</si>
  <si>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</si>
  <si>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</si>
  <si>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</si>
  <si>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</si>
  <si>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</si>
  <si>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</si>
  <si>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</si>
  <si>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</si>
  <si>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</si>
  <si>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</si>
  <si>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</si>
  <si>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</si>
  <si>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</si>
  <si>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</si>
  <si>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</si>
  <si>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</si>
  <si>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</si>
  <si>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</si>
  <si>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</si>
  <si>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</si>
  <si>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</si>
  <si>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</si>
  <si>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</si>
  <si>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</si>
  <si>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</si>
  <si>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</si>
  <si>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</si>
  <si>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</si>
  <si>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</si>
  <si>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</si>
  <si>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</si>
  <si>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</si>
  <si>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</si>
  <si>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</si>
  <si>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</si>
  <si>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</si>
  <si>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</si>
  <si>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</si>
  <si>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</si>
  <si>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</si>
  <si>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</si>
  <si>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</si>
  <si>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</si>
  <si>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</si>
  <si>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</si>
  <si>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</si>
  <si>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</si>
  <si>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</si>
  <si>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</si>
  <si>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</si>
  <si>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</si>
  <si>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</si>
  <si>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</si>
  <si>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</si>
  <si>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</si>
  <si>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</si>
  <si>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</si>
  <si>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</si>
  <si>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</si>
  <si>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</si>
  <si>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</si>
  <si>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</si>
  <si>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</si>
  <si>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</si>
  <si>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</si>
  <si>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</si>
  <si>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</si>
  <si>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</si>
  <si>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</si>
  <si>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</si>
  <si>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</si>
  <si>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</si>
  <si>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</si>
  <si>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</si>
  <si>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</si>
  <si>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</si>
  <si>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</si>
  <si>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</si>
  <si>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</si>
  <si>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</si>
  <si>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</si>
  <si>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</si>
  <si>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</si>
  <si>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</si>
  <si>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</si>
  <si>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</si>
  <si>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</si>
  <si>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</si>
  <si>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</si>
  <si>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</si>
  <si>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</si>
  <si>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</si>
  <si>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</si>
  <si>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</si>
  <si>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</si>
  <si>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</si>
  <si>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</si>
  <si>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</si>
  <si>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</si>
  <si>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</si>
  <si>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</si>
  <si>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</si>
  <si>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</si>
  <si>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</si>
  <si>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</si>
  <si>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</si>
  <si>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</si>
  <si>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</si>
  <si>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</si>
  <si>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</si>
  <si>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</si>
  <si>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</si>
  <si>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</si>
  <si>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</si>
  <si>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</si>
  <si>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</si>
  <si>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</si>
  <si>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</si>
  <si>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</si>
  <si>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</si>
  <si>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</si>
  <si>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</si>
  <si>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</si>
  <si>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</si>
  <si>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</si>
  <si>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</si>
  <si>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</si>
  <si>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</si>
  <si>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</si>
  <si>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</si>
  <si>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</si>
  <si>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</si>
  <si>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</si>
  <si>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</si>
  <si>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</si>
  <si>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</si>
  <si>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</si>
  <si>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</si>
  <si>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</si>
  <si>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</si>
  <si>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</si>
  <si>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</si>
  <si>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</si>
  <si>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</si>
  <si>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</si>
  <si>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</si>
  <si>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</si>
  <si>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</si>
  <si>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</si>
  <si>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</si>
  <si>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</si>
  <si>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</si>
  <si>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</si>
  <si>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</si>
  <si>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</si>
  <si>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</si>
  <si>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</si>
  <si>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</si>
  <si>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</si>
  <si>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</si>
  <si>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</si>
  <si>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</si>
  <si>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</si>
  <si>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</si>
  <si>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</si>
  <si>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</si>
  <si>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</si>
  <si>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</si>
  <si>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</si>
  <si>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</si>
  <si>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</si>
  <si>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</si>
  <si>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</si>
  <si>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</si>
  <si>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</si>
  <si>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</si>
  <si>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</si>
  <si>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</si>
  <si>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</si>
  <si>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</si>
  <si>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</si>
  <si>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</si>
  <si>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</si>
  <si>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</si>
  <si>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</si>
  <si>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</si>
  <si>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</si>
  <si>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</si>
  <si>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</si>
  <si>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</si>
  <si>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</si>
  <si>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</si>
  <si>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</si>
  <si>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</si>
  <si>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</si>
  <si>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</si>
  <si>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</si>
  <si>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</si>
  <si>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</si>
  <si>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</si>
  <si>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</si>
  <si>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</si>
  <si>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</si>
  <si>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</si>
  <si>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</si>
  <si>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</si>
  <si>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</si>
  <si>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</si>
  <si>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</si>
  <si>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</si>
  <si>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</si>
  <si>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</si>
  <si>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</si>
  <si>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</si>
  <si>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</si>
  <si>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</si>
  <si>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</si>
  <si>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</si>
  <si>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</si>
  <si>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</si>
  <si>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</si>
  <si>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</si>
  <si>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</si>
  <si>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</si>
  <si>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</si>
  <si>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</si>
  <si>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</si>
  <si>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</si>
  <si>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</si>
  <si>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</si>
  <si>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</si>
  <si>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</si>
  <si>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</si>
  <si>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</si>
  <si>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</si>
  <si>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</si>
  <si>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</si>
  <si>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</si>
  <si>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</si>
  <si>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</si>
  <si>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</si>
  <si>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</si>
  <si>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</si>
  <si>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</si>
  <si>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</si>
  <si>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</si>
  <si>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</si>
  <si>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</si>
  <si>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</si>
  <si>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</si>
  <si>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</si>
  <si>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</si>
  <si>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</si>
  <si>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</si>
  <si>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</si>
  <si>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</si>
  <si>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</si>
  <si>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</si>
  <si>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</si>
  <si>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</si>
  <si>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</si>
  <si>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</si>
  <si>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</si>
  <si>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</si>
  <si>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</si>
  <si>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</si>
  <si>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</si>
  <si>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</si>
  <si>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</si>
  <si>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</si>
  <si>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</si>
  <si>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</si>
  <si>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</si>
  <si>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</si>
  <si>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</si>
  <si>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</si>
  <si>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</si>
  <si>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</si>
  <si>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</si>
  <si>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</si>
  <si>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</si>
  <si>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</si>
  <si>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</si>
  <si>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</si>
  <si>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</si>
  <si>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</si>
  <si>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</si>
  <si>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</si>
  <si>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</si>
  <si>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</si>
  <si>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</si>
  <si>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</si>
  <si>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</si>
  <si>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</si>
  <si>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</si>
  <si>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</si>
  <si>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</si>
  <si>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</si>
  <si>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</si>
  <si>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</si>
  <si>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Stadtwerke Merseburg GmbH</t>
  </si>
  <si>
    <t>9 8 7 0 0 7 9 7 0 0 0 0 1</t>
  </si>
  <si>
    <t>Große Ritterstraße 9</t>
  </si>
  <si>
    <t>Merseburg</t>
  </si>
  <si>
    <t>Dana Lisker</t>
  </si>
  <si>
    <t>dana.lisker @sg-sas.de</t>
  </si>
  <si>
    <t>03443 2873 765</t>
  </si>
  <si>
    <t>DE_GMF04</t>
  </si>
  <si>
    <t>DE_GBA04</t>
  </si>
  <si>
    <t>DE_GBD04</t>
  </si>
  <si>
    <t>DE_GBH04</t>
  </si>
  <si>
    <t>DE_GGA04</t>
  </si>
  <si>
    <t>DE_GGB04</t>
  </si>
  <si>
    <t>DE_GHA04</t>
  </si>
  <si>
    <t>DE_GMK04</t>
  </si>
  <si>
    <t>DE_GKO04</t>
  </si>
  <si>
    <t>DE_GPD04</t>
  </si>
  <si>
    <t>DE_GWA04</t>
  </si>
  <si>
    <t>THE0NKH700797000</t>
  </si>
  <si>
    <t>DTN</t>
  </si>
  <si>
    <t>Trading Hub Europe GmbH </t>
  </si>
  <si>
    <t>Kabelsketal</t>
  </si>
  <si>
    <t>Gasprognosetemperatur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</si>
</sst>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F4E79"/>
      <name val="Franklin Gothic Book"/>
      <family val="2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9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1" fontId="7" fillId="0" borderId="17" xfId="3" applyNumberFormat="1" applyFont="1" applyBorder="1" applyAlignment="1" applyProtection="1">
      <alignment vertical="center"/>
    </xf>
    <xf numFmtId="171" fontId="7" fillId="0" borderId="17" xfId="3" applyNumberFormat="1" applyFont="1" applyBorder="1" applyAlignment="1" applyProtection="1">
      <alignment horizontal="center" vertical="center"/>
    </xf>
    <xf numFmtId="170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1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4" fontId="0" fillId="72" borderId="77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69" fontId="0" fillId="71" borderId="78" xfId="0" applyNumberFormat="1" applyFont="1" applyFill="1" applyBorder="1" applyAlignment="1" applyProtection="1">
      <alignment horizontal="center" vertical="center"/>
      <protection locked="0"/>
    </xf>
    <xf numFmtId="193" fontId="0" fillId="71" borderId="72" xfId="0" applyNumberFormat="1" applyFont="1" applyFill="1" applyBorder="1" applyAlignment="1" applyProtection="1">
      <alignment horizontal="center" vertical="center"/>
      <protection locked="0"/>
    </xf>
    <xf numFmtId="184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92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463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t="s">
        <v>652</v>
      </c>
    </row>
    <row r="8" spans="2:7" s="8" customFormat="1">
      <c r="B8" s="8" t="s">
        <v>655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653</v>
      </c>
    </row>
    <row r="12" spans="2:7" s="8" customFormat="1">
      <c r="B12" s="8" t="s">
        <v>496</v>
      </c>
    </row>
    <row r="13" spans="2:7" s="8" customFormat="1">
      <c r="B13" s="8" t="s">
        <v>654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45413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45413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483</v>
      </c>
      <c r="D11" s="42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6217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660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661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662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458</v>
      </c>
      <c r="D27" s="42" t="s">
        <v>395</v>
      </c>
      <c r="E27" s="39"/>
      <c r="F27" s="11"/>
    </row>
    <row r="28" spans="1:15">
      <c r="B28" s="15"/>
      <c r="C28" s="65" t="s">
        <v>498</v>
      </c>
      <c r="D28" s="48" t="str">
        <f>IF(D27&lt;&gt;C28,VLOOKUP(D27,$C$29:$D$48,2,FALSE),C28)</f>
        <v>Stadtwerke Merseburg GmbH</v>
      </c>
      <c r="E28" s="38"/>
      <c r="F28" s="11"/>
      <c r="G28" s="2"/>
    </row>
    <row r="29" spans="1:15">
      <c r="B29" s="15"/>
      <c r="C29" s="22" t="s">
        <v>395</v>
      </c>
      <c r="D29" s="45" t="s">
        <v>656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430</v>
      </c>
      <c r="D38" s="46"/>
      <c r="E38" s="40"/>
      <c r="F38" s="47"/>
      <c r="G38" s="2"/>
    </row>
    <row r="39" spans="2:7">
      <c r="B39" s="15"/>
      <c r="C39" s="22" t="s">
        <v>431</v>
      </c>
      <c r="D39" s="46"/>
      <c r="E39" s="40"/>
      <c r="F39" s="47"/>
      <c r="G39" s="2"/>
    </row>
    <row r="40" spans="2:7">
      <c r="B40" s="15"/>
      <c r="C40" s="22" t="s">
        <v>432</v>
      </c>
      <c r="D40" s="46"/>
      <c r="E40" s="40"/>
      <c r="F40" s="47"/>
      <c r="G40" s="2"/>
    </row>
    <row r="41" spans="2:7">
      <c r="B41" s="15"/>
      <c r="C41" s="22" t="s">
        <v>433</v>
      </c>
      <c r="D41" s="46"/>
      <c r="E41" s="40"/>
      <c r="F41" s="47"/>
      <c r="G41" s="2"/>
    </row>
    <row r="42" spans="2:7">
      <c r="B42" s="15"/>
      <c r="C42" s="22" t="s">
        <v>434</v>
      </c>
      <c r="D42" s="46"/>
      <c r="E42" s="40"/>
      <c r="F42" s="47"/>
      <c r="G42" s="2"/>
    </row>
    <row r="43" spans="2:7">
      <c r="B43" s="15"/>
      <c r="C43" s="22" t="s">
        <v>435</v>
      </c>
      <c r="D43" s="46"/>
      <c r="E43" s="40"/>
      <c r="F43" s="47"/>
      <c r="G43" s="2"/>
    </row>
    <row r="44" spans="2:7">
      <c r="B44" s="15"/>
      <c r="C44" s="22" t="s">
        <v>436</v>
      </c>
      <c r="D44" s="46"/>
      <c r="E44" s="40"/>
      <c r="F44" s="47"/>
      <c r="G44" s="2"/>
    </row>
    <row r="45" spans="2:7">
      <c r="B45" s="15"/>
      <c r="C45" s="22" t="s">
        <v>437</v>
      </c>
      <c r="D45" s="46"/>
      <c r="E45" s="40"/>
      <c r="F45" s="47"/>
      <c r="G45" s="2"/>
    </row>
    <row r="46" spans="2:7">
      <c r="B46" s="15"/>
      <c r="C46" s="22" t="s">
        <v>438</v>
      </c>
      <c r="D46" s="46"/>
      <c r="E46" s="40"/>
      <c r="F46" s="47"/>
    </row>
    <row r="47" spans="2:7">
      <c r="B47" s="15"/>
      <c r="C47" s="22" t="s">
        <v>439</v>
      </c>
      <c r="D47" s="46"/>
      <c r="E47" s="40"/>
      <c r="F47" s="47"/>
    </row>
    <row r="48" spans="2:7">
      <c r="B48" s="15"/>
      <c r="C48" s="22" t="s">
        <v>440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0:D48">
    <cfRule type="expression" dxfId="61" priority="3">
      <formula>IF(CELL("Zeile",D30)&lt;$D$25+CELL("Zeile",$D$29),1,0)</formula>
    </cfRule>
  </conditionalFormatting>
  <conditionalFormatting sqref="D30:D48">
    <cfRule type="expression" dxfId="60" priority="2">
      <formula>IF(CELL(D30)&lt;$D$27+27,1,0)</formula>
    </cfRule>
  </conditionalFormatting>
  <conditionalFormatting sqref="D29">
    <cfRule type="expression" dxfId="59" priority="1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topLeftCell="A10" zoomScale="80" zoomScaleNormal="80" workbookViewId="0">
      <selection activeCell="D50" sqref="D50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444</v>
      </c>
      <c r="D5" s="58" t="str">
        <f>Netzbetreiber!$D$9</f>
        <v>Stadtwerke Merseburg GmbH</v>
      </c>
      <c r="H5" s="67"/>
      <c r="I5" s="67"/>
      <c r="J5" s="67"/>
      <c r="K5" s="67"/>
    </row>
    <row r="6" spans="2:15" ht="15" customHeight="1">
      <c r="B6" s="22"/>
      <c r="C6" s="61" t="s">
        <v>443</v>
      </c>
      <c r="D6" s="58" t="str">
        <f>Netzbetreiber!D28</f>
        <v>Stadtwerke Merseburg GmbH</v>
      </c>
      <c r="E6" s="15"/>
      <c r="H6" s="67"/>
      <c r="I6" s="67"/>
      <c r="J6" s="67"/>
      <c r="K6" s="67"/>
    </row>
    <row r="7" spans="2:15" ht="15" customHeight="1">
      <c r="B7" s="22"/>
      <c r="C7" s="60" t="s">
        <v>485</v>
      </c>
      <c r="D7" s="328" t="str">
        <f>Netzbetreiber!$D$11</f>
        <v>9 8 7 0 0 7 9 7 0 0 0 0 1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45413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41" t="s">
        <v>676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610</v>
      </c>
      <c r="D13" s="33" t="s">
        <v>611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429</v>
      </c>
      <c r="D15" s="42"/>
      <c r="E15" s="15"/>
      <c r="H15" s="67"/>
      <c r="I15" s="67"/>
      <c r="J15" s="67"/>
      <c r="K15" s="67"/>
    </row>
    <row r="16" spans="2:15" ht="15" customHeight="1">
      <c r="B16" s="23"/>
      <c r="C16" s="5" t="s">
        <v>428</v>
      </c>
      <c r="D16" s="42" t="s">
        <v>674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368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486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487</v>
      </c>
      <c r="I20" s="270" t="s">
        <v>488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573</v>
      </c>
      <c r="D26" s="42" t="s">
        <v>134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491</v>
      </c>
      <c r="C31" s="6" t="s">
        <v>572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493</v>
      </c>
      <c r="D35" s="42">
        <v>14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365</v>
      </c>
      <c r="D37" s="34">
        <v>1500000</v>
      </c>
      <c r="E37" s="15" t="s">
        <v>502</v>
      </c>
      <c r="I37" s="267"/>
      <c r="J37" s="267"/>
      <c r="K37" s="267"/>
      <c r="L37" s="267"/>
      <c r="M37" s="268"/>
    </row>
    <row r="38" spans="2:39" customFormat="1" ht="15" customHeight="1">
      <c r="C38" s="8" t="s">
        <v>489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366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490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678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15">
    <cfRule type="expression" dxfId="58" priority="22">
      <formula>IF($D$11="Gaspool",1,0)</formula>
    </cfRule>
  </conditionalFormatting>
  <conditionalFormatting sqref="D48:D62">
    <cfRule type="expression" dxfId="57" priority="18">
      <formula>IF(CELL("Zeile",D48)&lt;$D$46+CELL("Zeile",$D$48),1,0)</formula>
    </cfRule>
  </conditionalFormatting>
  <conditionalFormatting sqref="D49:D62">
    <cfRule type="expression" dxfId="56" priority="17">
      <formula>IF(CELL(D49)&lt;$D$36+27,1,0)</formula>
    </cfRule>
  </conditionalFormatting>
  <conditionalFormatting sqref="D23">
    <cfRule type="expression" dxfId="55" priority="16">
      <formula>IF($D$22=$H$22,1,0)</formula>
    </cfRule>
  </conditionalFormatting>
  <conditionalFormatting sqref="D31">
    <cfRule type="expression" dxfId="54" priority="5">
      <formula>IF($D$18="synthetisch",1,0)</formula>
    </cfRule>
  </conditionalFormatting>
  <conditionalFormatting sqref="D28">
    <cfRule type="expression" dxfId="53" priority="3">
      <formula>IF(AND($D$27=$I$27,$D$26=$H$26),1,0)</formula>
    </cfRule>
  </conditionalFormatting>
  <conditionalFormatting sqref="D26:D28">
    <cfRule type="expression" dxfId="52" priority="6">
      <formula>IF($D$18="analytisch",1,0)</formula>
    </cfRule>
  </conditionalFormatting>
  <conditionalFormatting sqref="D27">
    <cfRule type="expression" dxfId="51" priority="4">
      <formula>IF($D$26="nein",1)</formula>
    </cfRule>
  </conditionalFormatting>
  <conditionalFormatting sqref="D16">
    <cfRule type="expression" dxfId="50" priority="1">
      <formula>IF($D$11="NCG",1,0)</formula>
    </cfRule>
  </conditionalFormatting>
  <dataValidations count="9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3" xr:uid="{00000000-0002-0000-0200-000005000000}">
      <formula1>$H$13:$I$13</formula1>
    </dataValidation>
    <dataValidation type="list" allowBlank="1" showInputMessage="1" showErrorMessage="1" sqref="D27" xr:uid="{00000000-0002-0000-0200-000006000000}">
      <formula1>$H$27:$J$27</formula1>
    </dataValidation>
    <dataValidation type="list" allowBlank="1" showInputMessage="1" showErrorMessage="1" sqref="D26" xr:uid="{00000000-0002-0000-0200-000007000000}">
      <formula1>$H$26:$I$26</formula1>
    </dataValidation>
    <dataValidation type="list" allowBlank="1" showInputMessage="1" showErrorMessage="1" sqref="D31" xr:uid="{00000000-0002-0000-0200-000008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tabSelected="1" zoomScale="70" zoomScaleNormal="70" workbookViewId="0">
      <selection activeCell="B2" sqref="B2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Netzbetreiber!D9</f>
        <v>Stadtwerke Merseburg GmbH</v>
      </c>
      <c r="F4" s="330"/>
      <c r="G4" s="330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Netzbetreiber!D28</f>
        <v>Stadtwerke Merseburg GmbH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485</v>
      </c>
      <c r="D6" s="57"/>
      <c r="E6" s="329" t="str">
        <f>Netzbetreiber!D11</f>
        <v>9 8 7 0 0 7 9 7 0 0 0 0 1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45413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2" t="str">
        <f>INDEX('SLP-Verfahren'!D48:D62,'SLP-Temp-Gebiet #01'!F10)</f>
        <v>Gasprognosetemperatur 1</v>
      </c>
      <c r="G11" s="332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1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675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491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499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499</v>
      </c>
      <c r="T23" s="288" t="str">
        <f>O15</f>
        <v>DTN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677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>
        <v>10484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1</v>
      </c>
      <c r="F31" s="279">
        <f>ROUND(F32/$D$32,4)</f>
        <v>0.5</v>
      </c>
      <c r="G31" s="279">
        <f t="shared" ref="G31:N31" si="3">ROUND(G32/$D$32,4)</f>
        <v>0.25</v>
      </c>
      <c r="H31" s="279">
        <f t="shared" si="3"/>
        <v>0.125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450</v>
      </c>
      <c r="D34" s="152" t="s">
        <v>449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533</v>
      </c>
      <c r="E36" s="161" t="s">
        <v>451</v>
      </c>
      <c r="F36" s="161" t="s">
        <v>451</v>
      </c>
      <c r="G36" s="161" t="s">
        <v>451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Kabelsketal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>
        <f>E25</f>
        <v>10484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1</v>
      </c>
      <c r="F65" s="279">
        <f>ROUND(F66/$D$66,4)</f>
        <v>0.5</v>
      </c>
      <c r="G65" s="279">
        <f t="shared" ref="G65:N65" si="12">ROUND(G66/$D$66,4)</f>
        <v>0.25</v>
      </c>
      <c r="H65" s="279">
        <f t="shared" si="12"/>
        <v>0.125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</v>
      </c>
      <c r="E66" s="287">
        <v>1</v>
      </c>
      <c r="F66" s="287">
        <v>0.5</v>
      </c>
      <c r="G66" s="287">
        <v>0.25</v>
      </c>
      <c r="H66" s="287">
        <f t="shared" ref="H66:N66" si="13">H32</f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442</v>
      </c>
      <c r="D70" s="118" t="s">
        <v>533</v>
      </c>
      <c r="E70" s="162" t="s">
        <v>451</v>
      </c>
      <c r="F70" s="162" t="s">
        <v>452</v>
      </c>
      <c r="G70" s="162" t="str">
        <f t="shared" ref="G70:N70" si="17">G36</f>
        <v>Temp.-Prog.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8" priority="28">
      <formula>IF(E$20&lt;=$F$18,1,0)</formula>
    </cfRule>
  </conditionalFormatting>
  <conditionalFormatting sqref="E32:N36">
    <cfRule type="expression" dxfId="47" priority="27">
      <formula>IF(E$30&lt;=$F$28,1,0)</formula>
    </cfRule>
  </conditionalFormatting>
  <conditionalFormatting sqref="E26:F26">
    <cfRule type="expression" dxfId="46" priority="26">
      <formula>IF(E$20&lt;=$F$18,1,0)</formula>
    </cfRule>
  </conditionalFormatting>
  <conditionalFormatting sqref="E26:N26">
    <cfRule type="expression" dxfId="45" priority="25">
      <formula>IF(E$20&lt;=$F$18,1,0)</formula>
    </cfRule>
  </conditionalFormatting>
  <conditionalFormatting sqref="E56:N59">
    <cfRule type="expression" dxfId="44" priority="22">
      <formula>IF(E$54&lt;=$F$52,1,0)</formula>
    </cfRule>
  </conditionalFormatting>
  <conditionalFormatting sqref="E60:N60">
    <cfRule type="expression" dxfId="43" priority="21">
      <formula>IF(E$54&lt;=$F$52,1,0)</formula>
    </cfRule>
  </conditionalFormatting>
  <conditionalFormatting sqref="E66:N68">
    <cfRule type="expression" dxfId="42" priority="15">
      <formula>IF(E$64&lt;=$F$62,1,0)</formula>
    </cfRule>
  </conditionalFormatting>
  <conditionalFormatting sqref="E65:N68 E70:N70">
    <cfRule type="expression" dxfId="41" priority="13">
      <formula>IF(E$64&gt;$F$62,1,0)</formula>
    </cfRule>
  </conditionalFormatting>
  <conditionalFormatting sqref="E56:N60">
    <cfRule type="expression" dxfId="40" priority="12">
      <formula>IF(E$54&gt;$F$52,1,0)</formula>
    </cfRule>
  </conditionalFormatting>
  <conditionalFormatting sqref="E21:N26">
    <cfRule type="expression" dxfId="39" priority="11">
      <formula>IF(E$20&gt;$F$18,1,0)</formula>
    </cfRule>
  </conditionalFormatting>
  <conditionalFormatting sqref="E32:N36">
    <cfRule type="expression" dxfId="38" priority="10">
      <formula>IF(E$30&gt;$F$28,1,0)</formula>
    </cfRule>
  </conditionalFormatting>
  <conditionalFormatting sqref="H11 H8:H9">
    <cfRule type="expression" dxfId="37" priority="9">
      <formula>IF($F$9=1,1,0)</formula>
    </cfRule>
  </conditionalFormatting>
  <conditionalFormatting sqref="E55:N55">
    <cfRule type="expression" dxfId="36" priority="8">
      <formula>IF(E$54&gt;$F$52,1,0)</formula>
    </cfRule>
  </conditionalFormatting>
  <conditionalFormatting sqref="E31:N31">
    <cfRule type="expression" dxfId="35" priority="7">
      <formula>IF(E$30&gt;$F$28,1,0)</formula>
    </cfRule>
  </conditionalFormatting>
  <conditionalFormatting sqref="E70:N70">
    <cfRule type="expression" dxfId="34" priority="6">
      <formula>IF(E$64&lt;=$F$62,1,0)</formula>
    </cfRule>
  </conditionalFormatting>
  <conditionalFormatting sqref="H10">
    <cfRule type="expression" dxfId="33" priority="5">
      <formula>IF($F$9=1,1,0)</formula>
    </cfRule>
  </conditionalFormatting>
  <conditionalFormatting sqref="E69:N69">
    <cfRule type="expression" dxfId="32" priority="2">
      <formula>IF(E$64&lt;=$F$62,1,0)</formula>
    </cfRule>
  </conditionalFormatting>
  <conditionalFormatting sqref="E69:N69">
    <cfRule type="expression" dxfId="31" priority="1">
      <formula>IF(E$64&gt;$F$62,1,0)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7:N68 E36:F36 E26:N26 E57:N60 E22:F22 I22:N22 G24:N24 G70:N70 E33:N34 E69:N69 F25:N25 F56:N56 H66:N66 H32:N32 H36:N3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Netzbetreiber!$D$9</f>
        <v>Stadtwerke Merseburg GmbH</v>
      </c>
      <c r="F4" s="129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Netzbetreiber!$D$28</f>
        <v>Stadtwerke Merseburg GmbH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485</v>
      </c>
      <c r="D6" s="57"/>
      <c r="E6" s="329" t="str">
        <f>Netzbetreiber!$D$11</f>
        <v>9 8 7 0 0 7 9 7 0 0 0 0 1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45413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2">
        <f>INDEX('SLP-Verfahren'!D48:D62,'SLP-Temp-Gebiet #02'!F10)</f>
        <v>0</v>
      </c>
      <c r="G11" s="332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1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491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499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450</v>
      </c>
      <c r="D34" s="152" t="s">
        <v>449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533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442</v>
      </c>
      <c r="D70" s="118" t="s">
        <v>533</v>
      </c>
      <c r="E70" s="162" t="s">
        <v>452</v>
      </c>
      <c r="F70" s="162" t="s">
        <v>452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0" priority="18">
      <formula>IF(E$20&lt;=$F$18,1,0)</formula>
    </cfRule>
  </conditionalFormatting>
  <conditionalFormatting sqref="E32:N36">
    <cfRule type="expression" dxfId="29" priority="17">
      <formula>IF(E$30&lt;=$F$28,1,0)</formula>
    </cfRule>
  </conditionalFormatting>
  <conditionalFormatting sqref="E26:F26">
    <cfRule type="expression" dxfId="28" priority="16">
      <formula>IF(E$20&lt;=$F$18,1,0)</formula>
    </cfRule>
  </conditionalFormatting>
  <conditionalFormatting sqref="E26:N26">
    <cfRule type="expression" dxfId="27" priority="15">
      <formula>IF(E$20&lt;=$F$18,1,0)</formula>
    </cfRule>
  </conditionalFormatting>
  <conditionalFormatting sqref="E56:N59">
    <cfRule type="expression" dxfId="26" priority="14">
      <formula>IF(E$54&lt;=$F$52,1,0)</formula>
    </cfRule>
  </conditionalFormatting>
  <conditionalFormatting sqref="E60:N60">
    <cfRule type="expression" dxfId="25" priority="13">
      <formula>IF(E$54&lt;=$F$52,1,0)</formula>
    </cfRule>
  </conditionalFormatting>
  <conditionalFormatting sqref="E66:N68">
    <cfRule type="expression" dxfId="24" priority="12">
      <formula>IF(E$64&lt;=$F$62,1,0)</formula>
    </cfRule>
  </conditionalFormatting>
  <conditionalFormatting sqref="E65:N68 E70:N70">
    <cfRule type="expression" dxfId="23" priority="11">
      <formula>IF(E$64&gt;$F$62,1,0)</formula>
    </cfRule>
  </conditionalFormatting>
  <conditionalFormatting sqref="E56:N60">
    <cfRule type="expression" dxfId="22" priority="10">
      <formula>IF(E$54&gt;$F$52,1,0)</formula>
    </cfRule>
  </conditionalFormatting>
  <conditionalFormatting sqref="E21:N26">
    <cfRule type="expression" dxfId="21" priority="9">
      <formula>IF(E$20&gt;$F$18,1,0)</formula>
    </cfRule>
  </conditionalFormatting>
  <conditionalFormatting sqref="E32:N36">
    <cfRule type="expression" dxfId="20" priority="8">
      <formula>IF(E$30&gt;$F$28,1,0)</formula>
    </cfRule>
  </conditionalFormatting>
  <conditionalFormatting sqref="H11 H8:H9">
    <cfRule type="expression" dxfId="19" priority="7">
      <formula>IF($F$9=1,1,0)</formula>
    </cfRule>
  </conditionalFormatting>
  <conditionalFormatting sqref="E55:N55">
    <cfRule type="expression" dxfId="18" priority="6">
      <formula>IF(E$54&gt;$F$52,1,0)</formula>
    </cfRule>
  </conditionalFormatting>
  <conditionalFormatting sqref="E31:N31">
    <cfRule type="expression" dxfId="17" priority="5">
      <formula>IF(E$30&gt;$F$28,1,0)</formula>
    </cfRule>
  </conditionalFormatting>
  <conditionalFormatting sqref="E70:N70">
    <cfRule type="expression" dxfId="16" priority="4">
      <formula>IF(E$64&lt;=$F$62,1,0)</formula>
    </cfRule>
  </conditionalFormatting>
  <conditionalFormatting sqref="H10">
    <cfRule type="expression" dxfId="15" priority="3">
      <formula>IF($F$9=1,1,0)</formula>
    </cfRule>
  </conditionalFormatting>
  <conditionalFormatting sqref="E69:N69">
    <cfRule type="expression" dxfId="14" priority="2">
      <formula>IF(E$64&lt;=$F$62,1,0)</formula>
    </cfRule>
  </conditionalFormatting>
  <conditionalFormatting sqref="E69:N69">
    <cfRule type="expression" dxfId="13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M1" sqref="M1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364</v>
      </c>
    </row>
    <row r="3" spans="2:26">
      <c r="B3" s="129" t="s">
        <v>464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Stadtwerke Merseburg GmbH</v>
      </c>
      <c r="E5" s="129"/>
      <c r="J5" s="88" t="s">
        <v>495</v>
      </c>
      <c r="K5" s="130" t="s">
        <v>497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337</v>
      </c>
      <c r="D6" s="54" t="str">
        <f>Netzbetreiber!$D$28</f>
        <v>Stadtwerke Merseburg GmbH</v>
      </c>
      <c r="E6" s="129"/>
      <c r="F6" s="129"/>
      <c r="K6" s="130" t="s">
        <v>504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485</v>
      </c>
      <c r="D7" s="54" t="str">
        <f>Netzbetreiber!$D$11</f>
        <v>9 8 7 0 0 7 9 7 0 0 0 0 1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45413</v>
      </c>
      <c r="E8" s="129"/>
      <c r="F8" s="129"/>
      <c r="H8" s="127" t="s">
        <v>493</v>
      </c>
      <c r="J8" s="131">
        <f>COUNTA(D12:D100)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492</v>
      </c>
      <c r="D10" s="133" t="s">
        <v>147</v>
      </c>
      <c r="E10" s="272" t="s">
        <v>506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494</v>
      </c>
      <c r="C11" s="139" t="s">
        <v>505</v>
      </c>
      <c r="D11" s="293" t="s">
        <v>247</v>
      </c>
      <c r="E11" s="163" t="s">
        <v>512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4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5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Stadtwerke Merseburg GmbH</v>
      </c>
      <c r="D12" s="62" t="s">
        <v>247</v>
      </c>
      <c r="E12" s="164" t="s">
        <v>4</v>
      </c>
      <c r="F12" s="296" t="str">
        <f>VLOOKUP($E12,'BDEW-Standard'!$B$3:$M$158,F$9,0)</f>
        <v>HK3</v>
      </c>
      <c r="H12" s="273">
        <f>ROUND(VLOOKUP($E12,'BDEW-Standard'!$B$3:$M$158,H$9,0),7)</f>
        <v>0.40409319999999999</v>
      </c>
      <c r="I12" s="273">
        <f>ROUND(VLOOKUP($E12,'BDEW-Standard'!$B$3:$M$158,I$9,0),7)</f>
        <v>-24.439296800000001</v>
      </c>
      <c r="J12" s="273">
        <f>ROUND(VLOOKUP($E12,'BDEW-Standard'!$B$3:$M$158,J$9,0),7)</f>
        <v>6.5718174999999999</v>
      </c>
      <c r="K12" s="273">
        <f>ROUND(VLOOKUP($E12,'BDEW-Standard'!$B$3:$M$158,K$9,0),7)</f>
        <v>0.71077100000000004</v>
      </c>
      <c r="L12" s="336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7">
        <f t="shared" ref="Q12:Q25" si="1">($H12/(1+($I12/($Q$9-$L12))^$J12)+$K12)+MAX($M12*$Q$9+$N12,$O12*$Q$9+$P12)</f>
        <v>1.0561214000512988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Stadtwerke Merseburg GmbH</v>
      </c>
      <c r="D13" s="62" t="s">
        <v>247</v>
      </c>
      <c r="E13" s="164" t="s">
        <v>663</v>
      </c>
      <c r="F13" s="296" t="str">
        <f>VLOOKUP($E13,'BDEW-Standard'!$B$3:$M$158,F$9,0)</f>
        <v>MF4</v>
      </c>
      <c r="H13" s="273">
        <f>ROUND(VLOOKUP($E13,'BDEW-Standard'!$B$3:$M$158,H$9,0),7)</f>
        <v>2.5187775000000001</v>
      </c>
      <c r="I13" s="273">
        <f>ROUND(VLOOKUP($E13,'BDEW-Standard'!$B$3:$M$158,I$9,0),7)</f>
        <v>-35.033375399999997</v>
      </c>
      <c r="J13" s="273">
        <f>ROUND(VLOOKUP($E13,'BDEW-Standard'!$B$3:$M$158,J$9,0),7)</f>
        <v>6.2240634000000004</v>
      </c>
      <c r="K13" s="273">
        <f>ROUND(VLOOKUP($E13,'BDEW-Standard'!$B$3:$M$158,K$9,0),7)</f>
        <v>0.10107820000000001</v>
      </c>
      <c r="L13" s="336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7">
        <f t="shared" si="1"/>
        <v>1.0146273685996503</v>
      </c>
      <c r="R13" s="274">
        <f>ROUND(VLOOKUP(MID($E13,4,3),'Wochentag F(WT)'!$B$7:$J$22,R$9,0),4)</f>
        <v>1.0354000000000001</v>
      </c>
      <c r="S13" s="274">
        <f>ROUND(VLOOKUP(MID($E13,4,3),'Wochentag F(WT)'!$B$7:$J$22,S$9,0),4)</f>
        <v>1.0523</v>
      </c>
      <c r="T13" s="274">
        <f>ROUND(VLOOKUP(MID($E13,4,3),'Wochentag F(WT)'!$B$7:$J$22,T$9,0),4)</f>
        <v>1.0448999999999999</v>
      </c>
      <c r="U13" s="274">
        <f>ROUND(VLOOKUP(MID($E13,4,3),'Wochentag F(WT)'!$B$7:$J$22,U$9,0),4)</f>
        <v>1.0494000000000001</v>
      </c>
      <c r="V13" s="274">
        <f>ROUND(VLOOKUP(MID($E13,4,3),'Wochentag F(WT)'!$B$7:$J$22,V$9,0),4)</f>
        <v>0.98850000000000005</v>
      </c>
      <c r="W13" s="274">
        <f>ROUND(VLOOKUP(MID($E13,4,3),'Wochentag F(WT)'!$B$7:$J$22,W$9,0),4)</f>
        <v>0.88600000000000001</v>
      </c>
      <c r="X13" s="275">
        <f t="shared" ref="X13:X25" si="2">7-SUM(R13:W13)</f>
        <v>0.94349999999999934</v>
      </c>
      <c r="Y13" s="292"/>
      <c r="Z13" s="210"/>
    </row>
    <row r="14" spans="2:26" s="142" customFormat="1">
      <c r="B14" s="143">
        <v>3</v>
      </c>
      <c r="C14" s="144" t="str">
        <f t="shared" si="0"/>
        <v>Stadtwerke Merseburg GmbH</v>
      </c>
      <c r="D14" s="62" t="s">
        <v>247</v>
      </c>
      <c r="E14" s="164" t="s">
        <v>664</v>
      </c>
      <c r="F14" s="296" t="str">
        <f>VLOOKUP($E14,'BDEW-Standard'!$B$3:$M$158,F$9,0)</f>
        <v>BA4</v>
      </c>
      <c r="H14" s="273">
        <f>ROUND(VLOOKUP($E14,'BDEW-Standard'!$B$3:$M$158,H$9,0),7)</f>
        <v>0.93158890000000005</v>
      </c>
      <c r="I14" s="273">
        <f>ROUND(VLOOKUP($E14,'BDEW-Standard'!$B$3:$M$158,I$9,0),7)</f>
        <v>-33.35</v>
      </c>
      <c r="J14" s="273">
        <f>ROUND(VLOOKUP($E14,'BDEW-Standard'!$B$3:$M$158,J$9,0),7)</f>
        <v>5.7212303000000002</v>
      </c>
      <c r="K14" s="273">
        <f>ROUND(VLOOKUP($E14,'BDEW-Standard'!$B$3:$M$158,K$9,0),7)</f>
        <v>0.66564939999999995</v>
      </c>
      <c r="L14" s="336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7">
        <f t="shared" si="1"/>
        <v>1.0766391850538448</v>
      </c>
      <c r="R14" s="274">
        <f>ROUND(VLOOKUP(MID($E14,4,3),'Wochentag F(WT)'!$B$7:$J$22,R$9,0),4)</f>
        <v>1.0848</v>
      </c>
      <c r="S14" s="274">
        <f>ROUND(VLOOKUP(MID($E14,4,3),'Wochentag F(WT)'!$B$7:$J$22,S$9,0),4)</f>
        <v>1.1211</v>
      </c>
      <c r="T14" s="274">
        <f>ROUND(VLOOKUP(MID($E14,4,3),'Wochentag F(WT)'!$B$7:$J$22,T$9,0),4)</f>
        <v>1.0769</v>
      </c>
      <c r="U14" s="274">
        <f>ROUND(VLOOKUP(MID($E14,4,3),'Wochentag F(WT)'!$B$7:$J$22,U$9,0),4)</f>
        <v>1.1353</v>
      </c>
      <c r="V14" s="274">
        <f>ROUND(VLOOKUP(MID($E14,4,3),'Wochentag F(WT)'!$B$7:$J$22,V$9,0),4)</f>
        <v>1.1402000000000001</v>
      </c>
      <c r="W14" s="274">
        <f>ROUND(VLOOKUP(MID($E14,4,3),'Wochentag F(WT)'!$B$7:$J$22,W$9,0),4)</f>
        <v>0.48520000000000002</v>
      </c>
      <c r="X14" s="275">
        <f t="shared" si="2"/>
        <v>0.95650000000000013</v>
      </c>
      <c r="Y14" s="292"/>
      <c r="Z14" s="210"/>
    </row>
    <row r="15" spans="2:26" s="142" customFormat="1">
      <c r="B15" s="143">
        <v>4</v>
      </c>
      <c r="C15" s="144" t="str">
        <f t="shared" si="0"/>
        <v>Stadtwerke Merseburg GmbH</v>
      </c>
      <c r="D15" s="62" t="s">
        <v>247</v>
      </c>
      <c r="E15" s="164" t="s">
        <v>665</v>
      </c>
      <c r="F15" s="296" t="str">
        <f>VLOOKUP($E15,'BDEW-Standard'!$B$3:$M$158,F$9,0)</f>
        <v>BD4</v>
      </c>
      <c r="H15" s="273">
        <f>ROUND(VLOOKUP($E15,'BDEW-Standard'!$B$3:$M$158,H$9,0),7)</f>
        <v>3.75</v>
      </c>
      <c r="I15" s="273">
        <f>ROUND(VLOOKUP($E15,'BDEW-Standard'!$B$3:$M$158,I$9,0),7)</f>
        <v>-37.5</v>
      </c>
      <c r="J15" s="273">
        <f>ROUND(VLOOKUP($E15,'BDEW-Standard'!$B$3:$M$158,J$9,0),7)</f>
        <v>6.8</v>
      </c>
      <c r="K15" s="273">
        <f>ROUND(VLOOKUP($E15,'BDEW-Standard'!$B$3:$M$158,K$9,0),7)</f>
        <v>6.0911300000000002E-2</v>
      </c>
      <c r="L15" s="336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7">
        <f t="shared" si="1"/>
        <v>1.0126136468627658</v>
      </c>
      <c r="R15" s="274">
        <f>ROUND(VLOOKUP(MID($E15,4,3),'Wochentag F(WT)'!$B$7:$J$22,R$9,0),4)</f>
        <v>1.1052</v>
      </c>
      <c r="S15" s="274">
        <f>ROUND(VLOOKUP(MID($E15,4,3),'Wochentag F(WT)'!$B$7:$J$22,S$9,0),4)</f>
        <v>1.0857000000000001</v>
      </c>
      <c r="T15" s="274">
        <f>ROUND(VLOOKUP(MID($E15,4,3),'Wochentag F(WT)'!$B$7:$J$22,T$9,0),4)</f>
        <v>1.0378000000000001</v>
      </c>
      <c r="U15" s="274">
        <f>ROUND(VLOOKUP(MID($E15,4,3),'Wochentag F(WT)'!$B$7:$J$22,U$9,0),4)</f>
        <v>1.0622</v>
      </c>
      <c r="V15" s="274">
        <f>ROUND(VLOOKUP(MID($E15,4,3),'Wochentag F(WT)'!$B$7:$J$22,V$9,0),4)</f>
        <v>1.0266</v>
      </c>
      <c r="W15" s="274">
        <f>ROUND(VLOOKUP(MID($E15,4,3),'Wochentag F(WT)'!$B$7:$J$22,W$9,0),4)</f>
        <v>0.76290000000000002</v>
      </c>
      <c r="X15" s="275">
        <f t="shared" si="2"/>
        <v>0.91959999999999997</v>
      </c>
      <c r="Y15" s="292"/>
      <c r="Z15" s="210"/>
    </row>
    <row r="16" spans="2:26" s="142" customFormat="1">
      <c r="B16" s="143">
        <v>5</v>
      </c>
      <c r="C16" s="144" t="str">
        <f t="shared" si="0"/>
        <v>Stadtwerke Merseburg GmbH</v>
      </c>
      <c r="D16" s="62" t="s">
        <v>247</v>
      </c>
      <c r="E16" s="164" t="s">
        <v>666</v>
      </c>
      <c r="F16" s="296" t="str">
        <f>VLOOKUP($E16,'BDEW-Standard'!$B$3:$M$158,F$9,0)</f>
        <v>BH4</v>
      </c>
      <c r="H16" s="273">
        <f>ROUND(VLOOKUP($E16,'BDEW-Standard'!$B$3:$M$158,H$9,0),7)</f>
        <v>2.4595180999999999</v>
      </c>
      <c r="I16" s="273">
        <f>ROUND(VLOOKUP($E16,'BDEW-Standard'!$B$3:$M$158,I$9,0),7)</f>
        <v>-35.253212400000002</v>
      </c>
      <c r="J16" s="273">
        <f>ROUND(VLOOKUP($E16,'BDEW-Standard'!$B$3:$M$158,J$9,0),7)</f>
        <v>6.0587001000000003</v>
      </c>
      <c r="K16" s="273">
        <f>ROUND(VLOOKUP($E16,'BDEW-Standard'!$B$3:$M$158,K$9,0),7)</f>
        <v>0.16473699999999999</v>
      </c>
      <c r="L16" s="336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7">
        <f t="shared" si="1"/>
        <v>1.043802057143173</v>
      </c>
      <c r="R16" s="274">
        <f>ROUND(VLOOKUP(MID($E16,4,3),'Wochentag F(WT)'!$B$7:$J$22,R$9,0),4)</f>
        <v>0.97670000000000001</v>
      </c>
      <c r="S16" s="274">
        <f>ROUND(VLOOKUP(MID($E16,4,3),'Wochentag F(WT)'!$B$7:$J$22,S$9,0),4)</f>
        <v>1.0388999999999999</v>
      </c>
      <c r="T16" s="274">
        <f>ROUND(VLOOKUP(MID($E16,4,3),'Wochentag F(WT)'!$B$7:$J$22,T$9,0),4)</f>
        <v>1.0027999999999999</v>
      </c>
      <c r="U16" s="274">
        <f>ROUND(VLOOKUP(MID($E16,4,3),'Wochentag F(WT)'!$B$7:$J$22,U$9,0),4)</f>
        <v>1.0162</v>
      </c>
      <c r="V16" s="274">
        <f>ROUND(VLOOKUP(MID($E16,4,3),'Wochentag F(WT)'!$B$7:$J$22,V$9,0),4)</f>
        <v>1.0024</v>
      </c>
      <c r="W16" s="274">
        <f>ROUND(VLOOKUP(MID($E16,4,3),'Wochentag F(WT)'!$B$7:$J$22,W$9,0),4)</f>
        <v>1.0043</v>
      </c>
      <c r="X16" s="275">
        <f t="shared" si="2"/>
        <v>0.95870000000000122</v>
      </c>
      <c r="Y16" s="292"/>
      <c r="Z16" s="210"/>
    </row>
    <row r="17" spans="2:26" s="142" customFormat="1">
      <c r="B17" s="143">
        <v>6</v>
      </c>
      <c r="C17" s="144" t="str">
        <f t="shared" si="0"/>
        <v>Stadtwerke Merseburg GmbH</v>
      </c>
      <c r="D17" s="62" t="s">
        <v>247</v>
      </c>
      <c r="E17" s="164" t="s">
        <v>667</v>
      </c>
      <c r="F17" s="296" t="str">
        <f>VLOOKUP($E17,'BDEW-Standard'!$B$3:$M$158,F$9,0)</f>
        <v>GA4</v>
      </c>
      <c r="H17" s="273">
        <f>ROUND(VLOOKUP($E17,'BDEW-Standard'!$B$3:$M$158,H$9,0),7)</f>
        <v>2.8195655999999998</v>
      </c>
      <c r="I17" s="273">
        <f>ROUND(VLOOKUP($E17,'BDEW-Standard'!$B$3:$M$158,I$9,0),7)</f>
        <v>-36</v>
      </c>
      <c r="J17" s="273">
        <f>ROUND(VLOOKUP($E17,'BDEW-Standard'!$B$3:$M$158,J$9,0),7)</f>
        <v>7.7368518000000002</v>
      </c>
      <c r="K17" s="273">
        <f>ROUND(VLOOKUP($E17,'BDEW-Standard'!$B$3:$M$158,K$9,0),7)</f>
        <v>0.157281</v>
      </c>
      <c r="L17" s="336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7">
        <f t="shared" si="1"/>
        <v>0.96576337685759206</v>
      </c>
      <c r="R17" s="274">
        <f>ROUND(VLOOKUP(MID($E17,4,3),'Wochentag F(WT)'!$B$7:$J$22,R$9,0),4)</f>
        <v>0.93220000000000003</v>
      </c>
      <c r="S17" s="274">
        <f>ROUND(VLOOKUP(MID($E17,4,3),'Wochentag F(WT)'!$B$7:$J$22,S$9,0),4)</f>
        <v>0.98939999999999995</v>
      </c>
      <c r="T17" s="274">
        <f>ROUND(VLOOKUP(MID($E17,4,3),'Wochentag F(WT)'!$B$7:$J$22,T$9,0),4)</f>
        <v>1.0033000000000001</v>
      </c>
      <c r="U17" s="274">
        <f>ROUND(VLOOKUP(MID($E17,4,3),'Wochentag F(WT)'!$B$7:$J$22,U$9,0),4)</f>
        <v>1.0108999999999999</v>
      </c>
      <c r="V17" s="274">
        <f>ROUND(VLOOKUP(MID($E17,4,3),'Wochentag F(WT)'!$B$7:$J$22,V$9,0),4)</f>
        <v>1.018</v>
      </c>
      <c r="W17" s="274">
        <f>ROUND(VLOOKUP(MID($E17,4,3),'Wochentag F(WT)'!$B$7:$J$22,W$9,0),4)</f>
        <v>1.0356000000000001</v>
      </c>
      <c r="X17" s="275">
        <f t="shared" si="2"/>
        <v>1.0106000000000002</v>
      </c>
      <c r="Y17" s="292"/>
      <c r="Z17" s="210"/>
    </row>
    <row r="18" spans="2:26" s="142" customFormat="1">
      <c r="B18" s="143">
        <v>7</v>
      </c>
      <c r="C18" s="144" t="str">
        <f t="shared" si="0"/>
        <v>Stadtwerke Merseburg GmbH</v>
      </c>
      <c r="D18" s="62" t="s">
        <v>247</v>
      </c>
      <c r="E18" s="164" t="s">
        <v>668</v>
      </c>
      <c r="F18" s="296" t="str">
        <f>VLOOKUP($E18,'BDEW-Standard'!$B$3:$M$158,F$9,0)</f>
        <v>GB4</v>
      </c>
      <c r="H18" s="273">
        <f>ROUND(VLOOKUP($E18,'BDEW-Standard'!$B$3:$M$158,H$9,0),7)</f>
        <v>3.6017736</v>
      </c>
      <c r="I18" s="273">
        <f>ROUND(VLOOKUP($E18,'BDEW-Standard'!$B$3:$M$158,I$9,0),7)</f>
        <v>-37.882536799999997</v>
      </c>
      <c r="J18" s="273">
        <f>ROUND(VLOOKUP($E18,'BDEW-Standard'!$B$3:$M$158,J$9,0),7)</f>
        <v>6.9836070000000001</v>
      </c>
      <c r="K18" s="273">
        <f>ROUND(VLOOKUP($E18,'BDEW-Standard'!$B$3:$M$158,K$9,0),7)</f>
        <v>5.4826199999999999E-2</v>
      </c>
      <c r="L18" s="336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7">
        <f t="shared" si="1"/>
        <v>0.90239375975311864</v>
      </c>
      <c r="R18" s="274">
        <f>ROUND(VLOOKUP(MID($E18,4,3),'Wochentag F(WT)'!$B$7:$J$22,R$9,0),4)</f>
        <v>0.98970000000000002</v>
      </c>
      <c r="S18" s="274">
        <f>ROUND(VLOOKUP(MID($E18,4,3),'Wochentag F(WT)'!$B$7:$J$22,S$9,0),4)</f>
        <v>0.9627</v>
      </c>
      <c r="T18" s="274">
        <f>ROUND(VLOOKUP(MID($E18,4,3),'Wochentag F(WT)'!$B$7:$J$22,T$9,0),4)</f>
        <v>1.0507</v>
      </c>
      <c r="U18" s="274">
        <f>ROUND(VLOOKUP(MID($E18,4,3),'Wochentag F(WT)'!$B$7:$J$22,U$9,0),4)</f>
        <v>1.0551999999999999</v>
      </c>
      <c r="V18" s="274">
        <f>ROUND(VLOOKUP(MID($E18,4,3),'Wochentag F(WT)'!$B$7:$J$22,V$9,0),4)</f>
        <v>1.0297000000000001</v>
      </c>
      <c r="W18" s="274">
        <f>ROUND(VLOOKUP(MID($E18,4,3),'Wochentag F(WT)'!$B$7:$J$22,W$9,0),4)</f>
        <v>0.97670000000000001</v>
      </c>
      <c r="X18" s="275">
        <f t="shared" si="2"/>
        <v>0.9352999999999998</v>
      </c>
      <c r="Y18" s="292"/>
      <c r="Z18" s="210"/>
    </row>
    <row r="19" spans="2:26" s="142" customFormat="1">
      <c r="B19" s="143">
        <v>8</v>
      </c>
      <c r="C19" s="144" t="str">
        <f t="shared" si="0"/>
        <v>Stadtwerke Merseburg GmbH</v>
      </c>
      <c r="D19" s="62" t="s">
        <v>247</v>
      </c>
      <c r="E19" s="164" t="s">
        <v>669</v>
      </c>
      <c r="F19" s="296" t="str">
        <f>VLOOKUP($E19,'BDEW-Standard'!$B$3:$M$158,F$9,0)</f>
        <v>HA4</v>
      </c>
      <c r="H19" s="273">
        <f>ROUND(VLOOKUP($E19,'BDEW-Standard'!$B$3:$M$158,H$9,0),7)</f>
        <v>4.0196902000000003</v>
      </c>
      <c r="I19" s="273">
        <f>ROUND(VLOOKUP($E19,'BDEW-Standard'!$B$3:$M$158,I$9,0),7)</f>
        <v>-37.828203700000003</v>
      </c>
      <c r="J19" s="273">
        <f>ROUND(VLOOKUP($E19,'BDEW-Standard'!$B$3:$M$158,J$9,0),7)</f>
        <v>8.1593368999999996</v>
      </c>
      <c r="K19" s="273">
        <f>ROUND(VLOOKUP($E19,'BDEW-Standard'!$B$3:$M$158,K$9,0),7)</f>
        <v>4.72845E-2</v>
      </c>
      <c r="L19" s="336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7">
        <f t="shared" si="1"/>
        <v>0.86486713303260787</v>
      </c>
      <c r="R19" s="274">
        <f>ROUND(VLOOKUP(MID($E19,4,3),'Wochentag F(WT)'!$B$7:$J$22,R$9,0),4)</f>
        <v>1.0358000000000001</v>
      </c>
      <c r="S19" s="274">
        <f>ROUND(VLOOKUP(MID($E19,4,3),'Wochentag F(WT)'!$B$7:$J$22,S$9,0),4)</f>
        <v>1.0232000000000001</v>
      </c>
      <c r="T19" s="274">
        <f>ROUND(VLOOKUP(MID($E19,4,3),'Wochentag F(WT)'!$B$7:$J$22,T$9,0),4)</f>
        <v>1.0251999999999999</v>
      </c>
      <c r="U19" s="274">
        <f>ROUND(VLOOKUP(MID($E19,4,3),'Wochentag F(WT)'!$B$7:$J$22,U$9,0),4)</f>
        <v>1.0295000000000001</v>
      </c>
      <c r="V19" s="274">
        <f>ROUND(VLOOKUP(MID($E19,4,3),'Wochentag F(WT)'!$B$7:$J$22,V$9,0),4)</f>
        <v>1.0253000000000001</v>
      </c>
      <c r="W19" s="274">
        <f>ROUND(VLOOKUP(MID($E19,4,3),'Wochentag F(WT)'!$B$7:$J$22,W$9,0),4)</f>
        <v>0.96750000000000003</v>
      </c>
      <c r="X19" s="275">
        <f t="shared" si="2"/>
        <v>0.89350000000000041</v>
      </c>
      <c r="Y19" s="292"/>
      <c r="Z19" s="210"/>
    </row>
    <row r="20" spans="2:26" s="142" customFormat="1">
      <c r="B20" s="143">
        <v>9</v>
      </c>
      <c r="C20" s="144" t="str">
        <f t="shared" si="0"/>
        <v>Stadtwerke Merseburg GmbH</v>
      </c>
      <c r="D20" s="62" t="s">
        <v>247</v>
      </c>
      <c r="E20" s="164" t="s">
        <v>670</v>
      </c>
      <c r="F20" s="296" t="str">
        <f>VLOOKUP($E20,'BDEW-Standard'!$B$3:$M$158,F$9,0)</f>
        <v>MK4</v>
      </c>
      <c r="H20" s="273">
        <f>ROUND(VLOOKUP($E20,'BDEW-Standard'!$B$3:$M$158,H$9,0),7)</f>
        <v>3.1177248</v>
      </c>
      <c r="I20" s="273">
        <f>ROUND(VLOOKUP($E20,'BDEW-Standard'!$B$3:$M$158,I$9,0),7)</f>
        <v>-35.871506199999999</v>
      </c>
      <c r="J20" s="273">
        <f>ROUND(VLOOKUP($E20,'BDEW-Standard'!$B$3:$M$158,J$9,0),7)</f>
        <v>7.5186828999999999</v>
      </c>
      <c r="K20" s="273">
        <f>ROUND(VLOOKUP($E20,'BDEW-Standard'!$B$3:$M$158,K$9,0),7)</f>
        <v>3.4330100000000002E-2</v>
      </c>
      <c r="L20" s="336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7">
        <f t="shared" si="1"/>
        <v>0.9622064996731321</v>
      </c>
      <c r="R20" s="274">
        <f>ROUND(VLOOKUP(MID($E20,4,3),'Wochentag F(WT)'!$B$7:$J$22,R$9,0),4)</f>
        <v>1.0699000000000001</v>
      </c>
      <c r="S20" s="274">
        <f>ROUND(VLOOKUP(MID($E20,4,3),'Wochentag F(WT)'!$B$7:$J$22,S$9,0),4)</f>
        <v>1.0365</v>
      </c>
      <c r="T20" s="274">
        <f>ROUND(VLOOKUP(MID($E20,4,3),'Wochentag F(WT)'!$B$7:$J$22,T$9,0),4)</f>
        <v>0.99329999999999996</v>
      </c>
      <c r="U20" s="274">
        <f>ROUND(VLOOKUP(MID($E20,4,3),'Wochentag F(WT)'!$B$7:$J$22,U$9,0),4)</f>
        <v>0.99480000000000002</v>
      </c>
      <c r="V20" s="274">
        <f>ROUND(VLOOKUP(MID($E20,4,3),'Wochentag F(WT)'!$B$7:$J$22,V$9,0),4)</f>
        <v>1.0659000000000001</v>
      </c>
      <c r="W20" s="274">
        <f>ROUND(VLOOKUP(MID($E20,4,3),'Wochentag F(WT)'!$B$7:$J$22,W$9,0),4)</f>
        <v>0.93620000000000003</v>
      </c>
      <c r="X20" s="275">
        <f t="shared" si="2"/>
        <v>0.90339999999999954</v>
      </c>
      <c r="Y20" s="292"/>
      <c r="Z20" s="210"/>
    </row>
    <row r="21" spans="2:26" s="142" customFormat="1">
      <c r="B21" s="143">
        <v>10</v>
      </c>
      <c r="C21" s="144" t="str">
        <f t="shared" si="0"/>
        <v>Stadtwerke Merseburg GmbH</v>
      </c>
      <c r="D21" s="62" t="s">
        <v>247</v>
      </c>
      <c r="E21" s="164" t="s">
        <v>671</v>
      </c>
      <c r="F21" s="296" t="str">
        <f>VLOOKUP($E21,'BDEW-Standard'!$B$3:$M$158,F$9,0)</f>
        <v>KO4</v>
      </c>
      <c r="H21" s="273">
        <f>ROUND(VLOOKUP($E21,'BDEW-Standard'!$B$3:$M$158,H$9,0),7)</f>
        <v>3.4428942999999999</v>
      </c>
      <c r="I21" s="273">
        <f>ROUND(VLOOKUP($E21,'BDEW-Standard'!$B$3:$M$158,I$9,0),7)</f>
        <v>-36.659050399999998</v>
      </c>
      <c r="J21" s="273">
        <f>ROUND(VLOOKUP($E21,'BDEW-Standard'!$B$3:$M$158,J$9,0),7)</f>
        <v>7.6083226000000002</v>
      </c>
      <c r="K21" s="273">
        <f>ROUND(VLOOKUP($E21,'BDEW-Standard'!$B$3:$M$158,K$9,0),7)</f>
        <v>7.4685000000000001E-2</v>
      </c>
      <c r="L21" s="336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7">
        <f t="shared" si="1"/>
        <v>0.97768382110526542</v>
      </c>
      <c r="R21" s="274">
        <f>ROUND(VLOOKUP(MID($E21,4,3),'Wochentag F(WT)'!$B$7:$J$22,R$9,0),4)</f>
        <v>1.0354000000000001</v>
      </c>
      <c r="S21" s="274">
        <f>ROUND(VLOOKUP(MID($E21,4,3),'Wochentag F(WT)'!$B$7:$J$22,S$9,0),4)</f>
        <v>1.0523</v>
      </c>
      <c r="T21" s="274">
        <f>ROUND(VLOOKUP(MID($E21,4,3),'Wochentag F(WT)'!$B$7:$J$22,T$9,0),4)</f>
        <v>1.0448999999999999</v>
      </c>
      <c r="U21" s="274">
        <f>ROUND(VLOOKUP(MID($E21,4,3),'Wochentag F(WT)'!$B$7:$J$22,U$9,0),4)</f>
        <v>1.0494000000000001</v>
      </c>
      <c r="V21" s="274">
        <f>ROUND(VLOOKUP(MID($E21,4,3),'Wochentag F(WT)'!$B$7:$J$22,V$9,0),4)</f>
        <v>0.98850000000000005</v>
      </c>
      <c r="W21" s="274">
        <f>ROUND(VLOOKUP(MID($E21,4,3),'Wochentag F(WT)'!$B$7:$J$22,W$9,0),4)</f>
        <v>0.88600000000000001</v>
      </c>
      <c r="X21" s="275">
        <f t="shared" si="2"/>
        <v>0.94349999999999934</v>
      </c>
      <c r="Y21" s="292"/>
      <c r="Z21" s="210"/>
    </row>
    <row r="22" spans="2:26" s="142" customFormat="1">
      <c r="B22" s="143">
        <v>11</v>
      </c>
      <c r="C22" s="144" t="str">
        <f t="shared" si="0"/>
        <v>Stadtwerke Merseburg GmbH</v>
      </c>
      <c r="D22" s="62" t="s">
        <v>247</v>
      </c>
      <c r="E22" s="164" t="s">
        <v>672</v>
      </c>
      <c r="F22" s="296" t="str">
        <f>VLOOKUP($E22,'BDEW-Standard'!$B$3:$M$158,F$9,0)</f>
        <v>PD4</v>
      </c>
      <c r="H22" s="273">
        <f>ROUND(VLOOKUP($E22,'BDEW-Standard'!$B$3:$M$158,H$9,0),7)</f>
        <v>3.85</v>
      </c>
      <c r="I22" s="273">
        <f>ROUND(VLOOKUP($E22,'BDEW-Standard'!$B$3:$M$158,I$9,0),7)</f>
        <v>-37</v>
      </c>
      <c r="J22" s="273">
        <f>ROUND(VLOOKUP($E22,'BDEW-Standard'!$B$3:$M$158,J$9,0),7)</f>
        <v>10.2405021</v>
      </c>
      <c r="K22" s="273">
        <f>ROUND(VLOOKUP($E22,'BDEW-Standard'!$B$3:$M$158,K$9,0),7)</f>
        <v>4.6924300000000002E-2</v>
      </c>
      <c r="L22" s="336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7">
        <f t="shared" si="1"/>
        <v>0.75691065279879233</v>
      </c>
      <c r="R22" s="274">
        <f>ROUND(VLOOKUP(MID($E22,4,3),'Wochentag F(WT)'!$B$7:$J$22,R$9,0),4)</f>
        <v>1.0214000000000001</v>
      </c>
      <c r="S22" s="274">
        <f>ROUND(VLOOKUP(MID($E22,4,3),'Wochentag F(WT)'!$B$7:$J$22,S$9,0),4)</f>
        <v>1.0866</v>
      </c>
      <c r="T22" s="274">
        <f>ROUND(VLOOKUP(MID($E22,4,3),'Wochentag F(WT)'!$B$7:$J$22,T$9,0),4)</f>
        <v>1.0720000000000001</v>
      </c>
      <c r="U22" s="274">
        <f>ROUND(VLOOKUP(MID($E22,4,3),'Wochentag F(WT)'!$B$7:$J$22,U$9,0),4)</f>
        <v>1.0557000000000001</v>
      </c>
      <c r="V22" s="274">
        <f>ROUND(VLOOKUP(MID($E22,4,3),'Wochentag F(WT)'!$B$7:$J$22,V$9,0),4)</f>
        <v>1.0117</v>
      </c>
      <c r="W22" s="274">
        <f>ROUND(VLOOKUP(MID($E22,4,3),'Wochentag F(WT)'!$B$7:$J$22,W$9,0),4)</f>
        <v>0.90010000000000001</v>
      </c>
      <c r="X22" s="275">
        <f t="shared" si="2"/>
        <v>0.85249999999999915</v>
      </c>
      <c r="Y22" s="292"/>
      <c r="Z22" s="210"/>
    </row>
    <row r="23" spans="2:26" s="142" customFormat="1">
      <c r="B23" s="143">
        <v>12</v>
      </c>
      <c r="C23" s="144" t="str">
        <f t="shared" si="0"/>
        <v>Stadtwerke Merseburg GmbH</v>
      </c>
      <c r="D23" s="62" t="s">
        <v>247</v>
      </c>
      <c r="E23" s="164" t="s">
        <v>673</v>
      </c>
      <c r="F23" s="296" t="str">
        <f>VLOOKUP($E23,'BDEW-Standard'!$B$3:$M$158,F$9,0)</f>
        <v>WA4</v>
      </c>
      <c r="H23" s="273">
        <f>ROUND(VLOOKUP($E23,'BDEW-Standard'!$B$3:$M$158,H$9,0),7)</f>
        <v>1.0535874999999999</v>
      </c>
      <c r="I23" s="273">
        <f>ROUND(VLOOKUP($E23,'BDEW-Standard'!$B$3:$M$158,I$9,0),7)</f>
        <v>-35.299999999999997</v>
      </c>
      <c r="J23" s="273">
        <f>ROUND(VLOOKUP($E23,'BDEW-Standard'!$B$3:$M$158,J$9,0),7)</f>
        <v>4.8662747</v>
      </c>
      <c r="K23" s="273">
        <f>ROUND(VLOOKUP($E23,'BDEW-Standard'!$B$3:$M$158,K$9,0),7)</f>
        <v>0.68110420000000005</v>
      </c>
      <c r="L23" s="336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7">
        <f t="shared" si="1"/>
        <v>1.0844348950990992</v>
      </c>
      <c r="R23" s="274">
        <f>ROUND(VLOOKUP(MID($E23,4,3),'Wochentag F(WT)'!$B$7:$J$22,R$9,0),4)</f>
        <v>1.2457</v>
      </c>
      <c r="S23" s="274">
        <f>ROUND(VLOOKUP(MID($E23,4,3),'Wochentag F(WT)'!$B$7:$J$22,S$9,0),4)</f>
        <v>1.2615000000000001</v>
      </c>
      <c r="T23" s="274">
        <f>ROUND(VLOOKUP(MID($E23,4,3),'Wochentag F(WT)'!$B$7:$J$22,T$9,0),4)</f>
        <v>1.2706999999999999</v>
      </c>
      <c r="U23" s="274">
        <f>ROUND(VLOOKUP(MID($E23,4,3),'Wochentag F(WT)'!$B$7:$J$22,U$9,0),4)</f>
        <v>1.2430000000000001</v>
      </c>
      <c r="V23" s="274">
        <f>ROUND(VLOOKUP(MID($E23,4,3),'Wochentag F(WT)'!$B$7:$J$22,V$9,0),4)</f>
        <v>1.1275999999999999</v>
      </c>
      <c r="W23" s="274">
        <f>ROUND(VLOOKUP(MID($E23,4,3),'Wochentag F(WT)'!$B$7:$J$22,W$9,0),4)</f>
        <v>0.38769999999999999</v>
      </c>
      <c r="X23" s="275">
        <f t="shared" si="2"/>
        <v>0.46379999999999999</v>
      </c>
      <c r="Y23" s="292"/>
      <c r="Z23" s="210"/>
    </row>
    <row r="24" spans="2:26" s="142" customFormat="1">
      <c r="B24" s="143">
        <v>13</v>
      </c>
      <c r="C24" s="144" t="str">
        <f t="shared" si="0"/>
        <v>Stadtwerke Merseburg GmbH</v>
      </c>
      <c r="D24" s="62" t="s">
        <v>247</v>
      </c>
      <c r="E24" s="164" t="s">
        <v>58</v>
      </c>
      <c r="F24" s="296" t="str">
        <f>VLOOKUP($E24,'BDEW-Standard'!$B$3:$M$158,F$9,0)</f>
        <v>C14</v>
      </c>
      <c r="H24" s="273">
        <f>ROUND(VLOOKUP($E24,'BDEW-Standard'!$B$3:$M$158,H$9,0),7)</f>
        <v>3.159294</v>
      </c>
      <c r="I24" s="273">
        <f>ROUND(VLOOKUP($E24,'BDEW-Standard'!$B$3:$M$158,I$9,0),7)</f>
        <v>-37.406886</v>
      </c>
      <c r="J24" s="273">
        <f>ROUND(VLOOKUP($E24,'BDEW-Standard'!$B$3:$M$158,J$9,0),7)</f>
        <v>6.1418926000000003</v>
      </c>
      <c r="K24" s="273">
        <f>ROUND(VLOOKUP($E24,'BDEW-Standard'!$B$3:$M$158,K$9,0),7)</f>
        <v>9.4704399999999994E-2</v>
      </c>
      <c r="L24" s="336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7">
        <f t="shared" si="1"/>
        <v>0.97016180224521154</v>
      </c>
      <c r="R24" s="274">
        <f>ROUND(VLOOKUP(MID($E24,4,3),'Wochentag F(WT)'!$B$7:$J$22,R$9,0),4)</f>
        <v>1</v>
      </c>
      <c r="S24" s="274">
        <f>ROUND(VLOOKUP(MID($E24,4,3),'Wochentag F(WT)'!$B$7:$J$22,S$9,0),4)</f>
        <v>1</v>
      </c>
      <c r="T24" s="274">
        <f>ROUND(VLOOKUP(MID($E24,4,3),'Wochentag F(WT)'!$B$7:$J$22,T$9,0),4)</f>
        <v>1</v>
      </c>
      <c r="U24" s="274">
        <f>ROUND(VLOOKUP(MID($E24,4,3),'Wochentag F(WT)'!$B$7:$J$22,U$9,0),4)</f>
        <v>1</v>
      </c>
      <c r="V24" s="274">
        <f>ROUND(VLOOKUP(MID($E24,4,3),'Wochentag F(WT)'!$B$7:$J$22,V$9,0),4)</f>
        <v>1</v>
      </c>
      <c r="W24" s="274">
        <f>ROUND(VLOOKUP(MID($E24,4,3),'Wochentag F(WT)'!$B$7:$J$22,W$9,0),4)</f>
        <v>1</v>
      </c>
      <c r="X24" s="275">
        <f t="shared" si="2"/>
        <v>1</v>
      </c>
      <c r="Y24" s="292"/>
      <c r="Z24" s="210"/>
    </row>
    <row r="25" spans="2:26" s="142" customFormat="1">
      <c r="B25" s="143">
        <v>14</v>
      </c>
      <c r="C25" s="144" t="str">
        <f t="shared" si="0"/>
        <v>Stadtwerke Merseburg GmbH</v>
      </c>
      <c r="D25" s="62" t="s">
        <v>247</v>
      </c>
      <c r="E25" s="164" t="s">
        <v>68</v>
      </c>
      <c r="F25" s="296" t="str">
        <f>VLOOKUP($E25,'BDEW-Standard'!$B$3:$M$158,F$9,0)</f>
        <v>C24</v>
      </c>
      <c r="H25" s="273">
        <f>ROUND(VLOOKUP($E25,'BDEW-Standard'!$B$3:$M$158,H$9,0),7)</f>
        <v>2.4859160999999999</v>
      </c>
      <c r="I25" s="273">
        <f>ROUND(VLOOKUP($E25,'BDEW-Standard'!$B$3:$M$158,I$9,0),7)</f>
        <v>-35.043597800000001</v>
      </c>
      <c r="J25" s="273">
        <f>ROUND(VLOOKUP($E25,'BDEW-Standard'!$B$3:$M$158,J$9,0),7)</f>
        <v>6.2818214000000001</v>
      </c>
      <c r="K25" s="273">
        <f>ROUND(VLOOKUP($E25,'BDEW-Standard'!$B$3:$M$158,K$9,0),7)</f>
        <v>0.13178339999999999</v>
      </c>
      <c r="L25" s="336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7">
        <f t="shared" si="1"/>
        <v>1.0293590127680663</v>
      </c>
      <c r="R25" s="274">
        <f>ROUND(VLOOKUP(MID($E25,4,3),'Wochentag F(WT)'!$B$7:$J$22,R$9,0),4)</f>
        <v>1</v>
      </c>
      <c r="S25" s="274">
        <f>ROUND(VLOOKUP(MID($E25,4,3),'Wochentag F(WT)'!$B$7:$J$22,S$9,0),4)</f>
        <v>1</v>
      </c>
      <c r="T25" s="274">
        <f>ROUND(VLOOKUP(MID($E25,4,3),'Wochentag F(WT)'!$B$7:$J$22,T$9,0),4)</f>
        <v>1</v>
      </c>
      <c r="U25" s="274">
        <f>ROUND(VLOOKUP(MID($E25,4,3),'Wochentag F(WT)'!$B$7:$J$22,U$9,0),4)</f>
        <v>1</v>
      </c>
      <c r="V25" s="274">
        <f>ROUND(VLOOKUP(MID($E25,4,3),'Wochentag F(WT)'!$B$7:$J$22,V$9,0),4)</f>
        <v>1</v>
      </c>
      <c r="W25" s="274">
        <f>ROUND(VLOOKUP(MID($E25,4,3),'Wochentag F(WT)'!$B$7:$J$22,W$9,0),4)</f>
        <v>1</v>
      </c>
      <c r="X25" s="275">
        <f t="shared" si="2"/>
        <v>1</v>
      </c>
      <c r="Y25" s="292"/>
      <c r="Z25" s="210"/>
    </row>
    <row r="26" spans="2:26" s="142" customFormat="1">
      <c r="B26" s="143">
        <v>15</v>
      </c>
      <c r="C26" s="144" t="str">
        <f t="shared" si="0"/>
        <v>Stadtwerke Merseburg GmbH</v>
      </c>
      <c r="D26" s="62"/>
      <c r="E26" s="164"/>
      <c r="F26" s="296"/>
      <c r="H26" s="273"/>
      <c r="I26" s="273"/>
      <c r="J26" s="273"/>
      <c r="K26" s="273"/>
      <c r="L26" s="336"/>
      <c r="M26" s="273"/>
      <c r="N26" s="273"/>
      <c r="O26" s="273"/>
      <c r="P26" s="273"/>
      <c r="Q26" s="337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Stadtwerke Merseburg GmbH</v>
      </c>
      <c r="D27" s="62"/>
      <c r="E27" s="165"/>
      <c r="F27" s="296"/>
      <c r="H27" s="276"/>
      <c r="I27" s="276"/>
      <c r="J27" s="276"/>
      <c r="K27" s="276"/>
      <c r="L27" s="336"/>
      <c r="M27" s="276"/>
      <c r="N27" s="276"/>
      <c r="O27" s="276"/>
      <c r="P27" s="276"/>
      <c r="Q27" s="338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Stadtwerke Merseburg GmbH</v>
      </c>
      <c r="D28" s="62"/>
      <c r="E28" s="165"/>
      <c r="F28" s="296"/>
      <c r="H28" s="276"/>
      <c r="I28" s="276"/>
      <c r="J28" s="276"/>
      <c r="K28" s="276"/>
      <c r="L28" s="336"/>
      <c r="M28" s="276"/>
      <c r="N28" s="276"/>
      <c r="O28" s="276"/>
      <c r="P28" s="276"/>
      <c r="Q28" s="338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Stadtwerke Merseburg GmbH</v>
      </c>
      <c r="D29" s="62"/>
      <c r="E29" s="165"/>
      <c r="F29" s="296"/>
      <c r="H29" s="276"/>
      <c r="I29" s="276"/>
      <c r="J29" s="276"/>
      <c r="K29" s="276"/>
      <c r="L29" s="336"/>
      <c r="M29" s="276"/>
      <c r="N29" s="276"/>
      <c r="O29" s="276"/>
      <c r="P29" s="276"/>
      <c r="Q29" s="338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Stadtwerke Merseburg GmbH</v>
      </c>
      <c r="D30" s="62"/>
      <c r="E30" s="165"/>
      <c r="F30" s="296"/>
      <c r="H30" s="276"/>
      <c r="I30" s="276"/>
      <c r="J30" s="276"/>
      <c r="K30" s="276"/>
      <c r="L30" s="336"/>
      <c r="M30" s="276"/>
      <c r="N30" s="276"/>
      <c r="O30" s="276"/>
      <c r="P30" s="276"/>
      <c r="Q30" s="338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Stadtwerke Merseburg GmbH</v>
      </c>
      <c r="D31" s="62"/>
      <c r="E31" s="165"/>
      <c r="F31" s="296"/>
      <c r="H31" s="276"/>
      <c r="I31" s="276"/>
      <c r="J31" s="276"/>
      <c r="K31" s="276"/>
      <c r="L31" s="336"/>
      <c r="M31" s="276"/>
      <c r="N31" s="276"/>
      <c r="O31" s="276"/>
      <c r="P31" s="276"/>
      <c r="Q31" s="338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Stadtwerke Merseburg GmbH</v>
      </c>
      <c r="D32" s="62"/>
      <c r="E32" s="165"/>
      <c r="F32" s="296"/>
      <c r="H32" s="276"/>
      <c r="I32" s="276"/>
      <c r="J32" s="276"/>
      <c r="K32" s="276"/>
      <c r="L32" s="336"/>
      <c r="M32" s="276"/>
      <c r="N32" s="276"/>
      <c r="O32" s="276"/>
      <c r="P32" s="276"/>
      <c r="Q32" s="338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Stadtwerke Merseburg GmbH</v>
      </c>
      <c r="D33" s="62"/>
      <c r="E33" s="165"/>
      <c r="F33" s="296"/>
      <c r="H33" s="276"/>
      <c r="I33" s="276"/>
      <c r="J33" s="276"/>
      <c r="K33" s="276"/>
      <c r="L33" s="336"/>
      <c r="M33" s="276"/>
      <c r="N33" s="276"/>
      <c r="O33" s="276"/>
      <c r="P33" s="276"/>
      <c r="Q33" s="338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Stadtwerke Merseburg GmbH</v>
      </c>
      <c r="D34" s="62"/>
      <c r="E34" s="165"/>
      <c r="F34" s="296"/>
      <c r="H34" s="276"/>
      <c r="I34" s="276"/>
      <c r="J34" s="276"/>
      <c r="K34" s="276"/>
      <c r="L34" s="336"/>
      <c r="M34" s="276"/>
      <c r="N34" s="276"/>
      <c r="O34" s="276"/>
      <c r="P34" s="276"/>
      <c r="Q34" s="338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Stadtwerke Merseburg GmbH</v>
      </c>
      <c r="D35" s="62"/>
      <c r="E35" s="165"/>
      <c r="F35" s="296"/>
      <c r="H35" s="276"/>
      <c r="I35" s="276"/>
      <c r="J35" s="276"/>
      <c r="K35" s="276"/>
      <c r="L35" s="336"/>
      <c r="M35" s="276"/>
      <c r="N35" s="276"/>
      <c r="O35" s="276"/>
      <c r="P35" s="276"/>
      <c r="Q35" s="338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Stadtwerke Merseburg GmbH</v>
      </c>
      <c r="D36" s="62"/>
      <c r="E36" s="165"/>
      <c r="F36" s="296"/>
      <c r="H36" s="276"/>
      <c r="I36" s="276"/>
      <c r="J36" s="276"/>
      <c r="K36" s="276"/>
      <c r="L36" s="336"/>
      <c r="M36" s="276"/>
      <c r="N36" s="276"/>
      <c r="O36" s="276"/>
      <c r="P36" s="276"/>
      <c r="Q36" s="338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Stadtwerke Merseburg GmbH</v>
      </c>
      <c r="D37" s="62"/>
      <c r="E37" s="165"/>
      <c r="F37" s="296"/>
      <c r="H37" s="276"/>
      <c r="I37" s="276"/>
      <c r="J37" s="276"/>
      <c r="K37" s="276"/>
      <c r="L37" s="336"/>
      <c r="M37" s="276"/>
      <c r="N37" s="276"/>
      <c r="O37" s="276"/>
      <c r="P37" s="276"/>
      <c r="Q37" s="338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Stadtwerke Merseburg GmbH</v>
      </c>
      <c r="D38" s="62"/>
      <c r="E38" s="165"/>
      <c r="F38" s="296"/>
      <c r="H38" s="276"/>
      <c r="I38" s="276"/>
      <c r="J38" s="276"/>
      <c r="K38" s="276"/>
      <c r="L38" s="336"/>
      <c r="M38" s="276"/>
      <c r="N38" s="276"/>
      <c r="O38" s="276"/>
      <c r="P38" s="276"/>
      <c r="Q38" s="338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Stadtwerke Merseburg GmbH</v>
      </c>
      <c r="D39" s="62"/>
      <c r="E39" s="165"/>
      <c r="F39" s="296"/>
      <c r="H39" s="276"/>
      <c r="I39" s="276"/>
      <c r="J39" s="276"/>
      <c r="K39" s="276"/>
      <c r="L39" s="336"/>
      <c r="M39" s="276"/>
      <c r="N39" s="276"/>
      <c r="O39" s="276"/>
      <c r="P39" s="276"/>
      <c r="Q39" s="338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Stadtwerke Merseburg GmbH</v>
      </c>
      <c r="D40" s="62"/>
      <c r="E40" s="165"/>
      <c r="F40" s="296"/>
      <c r="H40" s="276"/>
      <c r="I40" s="276"/>
      <c r="J40" s="276"/>
      <c r="K40" s="276"/>
      <c r="L40" s="336"/>
      <c r="M40" s="276"/>
      <c r="N40" s="276"/>
      <c r="O40" s="276"/>
      <c r="P40" s="276"/>
      <c r="Q40" s="338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Stadtwerke Merseburg GmbH</v>
      </c>
      <c r="D41" s="62"/>
      <c r="E41" s="165"/>
      <c r="F41" s="296"/>
      <c r="H41" s="276"/>
      <c r="I41" s="276"/>
      <c r="J41" s="276"/>
      <c r="K41" s="276"/>
      <c r="L41" s="336"/>
      <c r="M41" s="276"/>
      <c r="N41" s="276"/>
      <c r="O41" s="276"/>
      <c r="P41" s="276"/>
      <c r="Q41" s="338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2" priority="12">
      <formula>ISERROR(F11)</formula>
    </cfRule>
  </conditionalFormatting>
  <conditionalFormatting sqref="Y12:Y41 E24:F41 F12:F23">
    <cfRule type="duplicateValues" dxfId="11" priority="34"/>
  </conditionalFormatting>
  <conditionalFormatting sqref="L11:L41">
    <cfRule type="expression" dxfId="10" priority="3">
      <formula>ISERROR(L11)</formula>
    </cfRule>
  </conditionalFormatting>
  <conditionalFormatting sqref="Q11:Q41">
    <cfRule type="expression" dxfId="9" priority="2">
      <formula>ISERROR(Q11)</formula>
    </cfRule>
  </conditionalFormatting>
  <conditionalFormatting sqref="E12:E23">
    <cfRule type="duplicateValues" dxfId="8" priority="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5 F12:P25 G2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4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zoomScale="80" zoomScaleNormal="80" workbookViewId="0">
      <selection activeCell="B15" sqref="B15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445</v>
      </c>
    </row>
    <row r="3" spans="2:30" ht="15" customHeight="1">
      <c r="B3" s="84"/>
    </row>
    <row r="4" spans="2:30" ht="15" customHeight="1">
      <c r="B4" s="85" t="s">
        <v>444</v>
      </c>
      <c r="C4" s="63" t="str">
        <f>Netzbetreiber!$D$9</f>
        <v>Stadtwerke Merseburg GmbH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443</v>
      </c>
      <c r="C5" s="64" t="str">
        <f>Netzbetreiber!$D$28</f>
        <v>Stadtwerke Merseburg GmbH</v>
      </c>
      <c r="D5" s="37"/>
      <c r="E5" s="76"/>
      <c r="F5" s="76"/>
      <c r="G5" s="76"/>
      <c r="I5" s="76"/>
      <c r="J5" s="76"/>
      <c r="K5" s="76"/>
      <c r="L5" s="76"/>
      <c r="M5" s="88" t="s">
        <v>503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441</v>
      </c>
      <c r="C6" s="63" t="str">
        <f>Netzbetreiber!$D$11</f>
        <v>9 8 7 0 0 7 9 7 0 0 0 0 1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45413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465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466</v>
      </c>
      <c r="N10" s="97" t="s">
        <v>467</v>
      </c>
      <c r="O10" s="98" t="s">
        <v>468</v>
      </c>
      <c r="P10" s="99" t="s">
        <v>469</v>
      </c>
      <c r="Q10" s="99" t="s">
        <v>470</v>
      </c>
      <c r="R10" s="99" t="s">
        <v>471</v>
      </c>
      <c r="S10" s="99" t="s">
        <v>472</v>
      </c>
      <c r="T10" s="99" t="s">
        <v>473</v>
      </c>
      <c r="U10" s="99" t="s">
        <v>474</v>
      </c>
      <c r="V10" s="99" t="s">
        <v>475</v>
      </c>
      <c r="W10" s="99" t="s">
        <v>476</v>
      </c>
      <c r="X10" s="99" t="s">
        <v>477</v>
      </c>
      <c r="Y10" s="99" t="s">
        <v>478</v>
      </c>
      <c r="Z10" s="99" t="s">
        <v>479</v>
      </c>
      <c r="AA10" s="99" t="s">
        <v>480</v>
      </c>
      <c r="AB10" s="99" t="s">
        <v>481</v>
      </c>
      <c r="AC10" s="100" t="s">
        <v>482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39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399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339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400</v>
      </c>
      <c r="C14" s="116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39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39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39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39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39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39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39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39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39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0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39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403</v>
      </c>
      <c r="C24" s="116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339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404</v>
      </c>
      <c r="C25" s="116"/>
      <c r="D25" s="111">
        <v>17</v>
      </c>
      <c r="E25" s="304">
        <f t="shared" si="0"/>
        <v>0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39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39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406</v>
      </c>
      <c r="C27" s="116"/>
      <c r="D27" s="111">
        <v>19</v>
      </c>
      <c r="E27" s="304">
        <f t="shared" si="0"/>
        <v>0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339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407</v>
      </c>
      <c r="C28" s="116"/>
      <c r="D28" s="111">
        <v>20</v>
      </c>
      <c r="E28" s="304">
        <f t="shared" si="0"/>
        <v>0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39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39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39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39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39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0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346</v>
      </c>
      <c r="B1" s="212">
        <v>42173</v>
      </c>
      <c r="D1" s="130" t="s">
        <v>453</v>
      </c>
      <c r="F1" s="213" t="s">
        <v>540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3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454</v>
      </c>
      <c r="B1" s="127"/>
      <c r="D1" s="213" t="s">
        <v>540</v>
      </c>
    </row>
    <row r="2" spans="1:16">
      <c r="A2" s="233"/>
      <c r="B2" s="232" t="s">
        <v>455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456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Otto, Michael</cp:lastModifiedBy>
  <cp:lastPrinted>2015-03-20T22:59:10Z</cp:lastPrinted>
  <dcterms:created xsi:type="dcterms:W3CDTF">2015-01-15T05:25:41Z</dcterms:created>
  <dcterms:modified xsi:type="dcterms:W3CDTF">2026-03-19T10:43:30Z</dcterms:modified>
</cp:coreProperties>
</file>